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636" tabRatio="872" activeTab="1"/>
  </bookViews>
  <sheets>
    <sheet name="Hoja1" sheetId="1" r:id="rId1"/>
    <sheet name="ESF 2023" sheetId="2" r:id="rId2"/>
    <sheet name="Estado_Resultados_2023" sheetId="3" r:id="rId3"/>
    <sheet name="Estado_cambios_Patrimonio_2023" sheetId="4" r:id="rId4"/>
    <sheet name="Ingresos" sheetId="5" r:id="rId5"/>
    <sheet name="Patrimonio" sheetId="6" r:id="rId6"/>
    <sheet name="Hoja2" sheetId="7" r:id="rId7"/>
    <sheet name="Cambio_Posci_Fra_2016" sheetId="8" state="hidden" r:id="rId8"/>
    <sheet name="Flujo_efect_2016" sheetId="9" state="hidden" r:id="rId9"/>
  </sheets>
  <externalReferences>
    <externalReference r:id="rId12"/>
  </externalReferences>
  <definedNames>
    <definedName name="_xlnm.Print_Area" localSheetId="7">'Cambio_Posci_Fra_2016'!$B$1:$C$43</definedName>
    <definedName name="_xlnm.Print_Area" localSheetId="1">'ESF 2023'!$B$38:$J$89</definedName>
    <definedName name="_xlnm.Print_Area" localSheetId="3">'Estado_cambios_Patrimonio_2023'!$A$1:$E$32</definedName>
    <definedName name="_xlnm.Print_Area" localSheetId="2">'Estado_Resultados_2023'!$B$1:$I$47</definedName>
    <definedName name="_xlnm.Print_Area" localSheetId="8">'Flujo_efect_2016'!$B$1:$C$85</definedName>
    <definedName name="DATABASE">'ESF 2023'!$B$1:$B$192</definedName>
    <definedName name="_xlnm.Print_Titles" localSheetId="8">'Flujo_efect_2016'!$1:$5</definedName>
  </definedNames>
  <calcPr fullCalcOnLoad="1"/>
</workbook>
</file>

<file path=xl/sharedStrings.xml><?xml version="1.0" encoding="utf-8"?>
<sst xmlns="http://schemas.openxmlformats.org/spreadsheetml/2006/main" count="462" uniqueCount="335">
  <si>
    <t>PASIVO</t>
  </si>
  <si>
    <t>PATRIMONIO</t>
  </si>
  <si>
    <t>TOTAL  ACTIVO</t>
  </si>
  <si>
    <t>TOTAL PASIVO  (+) PATRIMONIO</t>
  </si>
  <si>
    <t xml:space="preserve"> </t>
  </si>
  <si>
    <t>DICIEMBRE</t>
  </si>
  <si>
    <t>Retención en la Fuente</t>
  </si>
  <si>
    <t>%</t>
  </si>
  <si>
    <t>Variación</t>
  </si>
  <si>
    <t xml:space="preserve">      Gastos de Personal</t>
  </si>
  <si>
    <t xml:space="preserve">      Gastos Generales</t>
  </si>
  <si>
    <t>ABS</t>
  </si>
  <si>
    <t>ACTIVO</t>
  </si>
  <si>
    <t>UTILIDAD DEL EJERCICIO</t>
  </si>
  <si>
    <t>JOEL SUAREZ OSPINA</t>
  </si>
  <si>
    <t>Concepto</t>
  </si>
  <si>
    <t>Ene-01</t>
  </si>
  <si>
    <t>Aumento</t>
  </si>
  <si>
    <t>Disminución</t>
  </si>
  <si>
    <t>Dic-31</t>
  </si>
  <si>
    <t>TOTALES</t>
  </si>
  <si>
    <t>N.I.T.  900.155.293-1</t>
  </si>
  <si>
    <t xml:space="preserve">    Muebles y equipo de oficina</t>
  </si>
  <si>
    <t xml:space="preserve">    Equipo de computo</t>
  </si>
  <si>
    <t xml:space="preserve">   Muebles y equipo de oficina</t>
  </si>
  <si>
    <t xml:space="preserve">   Equipo de computo</t>
  </si>
  <si>
    <t>Costos y Gastos por pagar</t>
  </si>
  <si>
    <t>UTILIDAD ANTES DE IMPUESTOS</t>
  </si>
  <si>
    <t xml:space="preserve">     Gastos No Operacionales</t>
  </si>
  <si>
    <t xml:space="preserve">     Impuestos</t>
  </si>
  <si>
    <t>Contador  T.P. 209332-T</t>
  </si>
  <si>
    <t>CORPORACIÓN COMUNIQUÉMONOS - 2016</t>
  </si>
  <si>
    <t>Efectivo y Equivalentes al efectivo</t>
  </si>
  <si>
    <t>Cuentas por Cobrar</t>
  </si>
  <si>
    <t>Inversiones</t>
  </si>
  <si>
    <t xml:space="preserve">     Entidades Financieras</t>
  </si>
  <si>
    <t xml:space="preserve">     Efectivo</t>
  </si>
  <si>
    <t>ACTIVO CORRIENTE</t>
  </si>
  <si>
    <t>ACTIVO NO CORRIENTE</t>
  </si>
  <si>
    <t>V%</t>
  </si>
  <si>
    <t>Propiedades, planta y Equipo</t>
  </si>
  <si>
    <t>OBLIG. FRAS Y CUENTAS POR PAGAR</t>
  </si>
  <si>
    <t>OBLIGACIONES IMPOSITIVAS</t>
  </si>
  <si>
    <t>PASIVO CORRIENTE</t>
  </si>
  <si>
    <t>Ingresos Ordinarios</t>
  </si>
  <si>
    <t>Ingresos No ordinarios</t>
  </si>
  <si>
    <t>Costos y Gastos Operacionales</t>
  </si>
  <si>
    <t>Gastos no Operacionales</t>
  </si>
  <si>
    <t>Utilidad o perdida del Ejercicio</t>
  </si>
  <si>
    <t>Utilidad del Ejercicio</t>
  </si>
  <si>
    <t>ESTADO DE CAMBIOS EN LA POSICION FINANCIERA</t>
  </si>
  <si>
    <t>Bancos</t>
  </si>
  <si>
    <t>Clientes</t>
  </si>
  <si>
    <t>Deudores varios</t>
  </si>
  <si>
    <t>Depreciacion acumulada</t>
  </si>
  <si>
    <t>Amortizacion acumulada</t>
  </si>
  <si>
    <t>Costos y gastos por pagar</t>
  </si>
  <si>
    <t>Retención en la fuente</t>
  </si>
  <si>
    <t>Acreedores varios</t>
  </si>
  <si>
    <t>Impuesto sobre las ventas por pagar</t>
  </si>
  <si>
    <t>Excedente del periodo</t>
  </si>
  <si>
    <t>TOTAL ORIGEN DE RECURSOS</t>
  </si>
  <si>
    <t>APLICACIÓN DE RECURSOS</t>
  </si>
  <si>
    <t>Cuentas por cobrar a socios y accionistas</t>
  </si>
  <si>
    <t>Aumento de diferidos</t>
  </si>
  <si>
    <t>Interes por cobrar</t>
  </si>
  <si>
    <t>Anticipo de impuestos y contribuciones o saldos a favor</t>
  </si>
  <si>
    <t>Construcciones en curso</t>
  </si>
  <si>
    <t>Equipo de computo y comunicación</t>
  </si>
  <si>
    <t>Licencias</t>
  </si>
  <si>
    <t>Deudas con terceros</t>
  </si>
  <si>
    <t>Retención y aportes de nomina</t>
  </si>
  <si>
    <t xml:space="preserve">Cesantias consolidadas </t>
  </si>
  <si>
    <t>Vacaciones consolidadas</t>
  </si>
  <si>
    <t>Variacion del capital neto de trabajo</t>
  </si>
  <si>
    <t>TOTAL APLICACIÓN DE RECURSOS</t>
  </si>
  <si>
    <t>TOTAL INCREM. (DISMIN.) EN EL K DE TRABAJO</t>
  </si>
  <si>
    <t>Revisora Fiscal TP.  2833-T</t>
  </si>
  <si>
    <t>ESTADO DE FLUJO DE EFECTIVO</t>
  </si>
  <si>
    <t>CONCEPTO</t>
  </si>
  <si>
    <t>Actividades de operación</t>
  </si>
  <si>
    <t>utilidad del periodo (estado de resultados)</t>
  </si>
  <si>
    <t>Partidas que no afectan el efectivo</t>
  </si>
  <si>
    <t>(+) depreciaciones</t>
  </si>
  <si>
    <t>(+) amortizaciones</t>
  </si>
  <si>
    <t>(+) provisiones</t>
  </si>
  <si>
    <t>(+) amortizaciones calculo actuarial bonos y titulos pensionales</t>
  </si>
  <si>
    <t>(-) utilidad en metodo de participacion</t>
  </si>
  <si>
    <t>(-) utilidad en venta de inversiones</t>
  </si>
  <si>
    <t>(-) utilidad en vta propiedades y equipo y/o otros bienes</t>
  </si>
  <si>
    <t>(-) recuperaciones</t>
  </si>
  <si>
    <t>(+) pérdida en venta o retiro de bienes</t>
  </si>
  <si>
    <t>(+) pérdida en metodo de participacion</t>
  </si>
  <si>
    <t>correccion monetaria</t>
  </si>
  <si>
    <t>(+) provision impuesto de renta y complementarios (est. Resultados)</t>
  </si>
  <si>
    <t>Subtotal</t>
  </si>
  <si>
    <t>(+ o -) diferencia en cambio</t>
  </si>
  <si>
    <t>(+ o -) errores de ejercicios anteriores</t>
  </si>
  <si>
    <t>Efectivo generado en operación</t>
  </si>
  <si>
    <t>Cambios en activos y pasivos operacionales</t>
  </si>
  <si>
    <t>(+) disminucion deudores</t>
  </si>
  <si>
    <t>(+) disminucion inventarios</t>
  </si>
  <si>
    <t>(+) disminucion activos diferidos</t>
  </si>
  <si>
    <t>(+) aumento proveedores</t>
  </si>
  <si>
    <t>(+) aumento cuentas por pagar</t>
  </si>
  <si>
    <t>(+) aumento impuestos gravamenes y tasas</t>
  </si>
  <si>
    <t>(+) aumento obligaciones laborales</t>
  </si>
  <si>
    <t>(+) aumento pasivos estimados y provisiones</t>
  </si>
  <si>
    <t>(+) aumento pasivos diferidos</t>
  </si>
  <si>
    <t>(+) aumento otros pasivos</t>
  </si>
  <si>
    <t>(-) aumento deudores</t>
  </si>
  <si>
    <t>(-) aumento inventarios</t>
  </si>
  <si>
    <t>(-) aumento activos diferidos</t>
  </si>
  <si>
    <t>(-) disminucion proveedores</t>
  </si>
  <si>
    <t>(-) disminucion cuentas por pagar</t>
  </si>
  <si>
    <t>(-) disminucion impuestos gravamenes y tasas</t>
  </si>
  <si>
    <t>(-) disminucion obligaciones laborales</t>
  </si>
  <si>
    <t>(-) disminucion pasivos estimados y provisiones</t>
  </si>
  <si>
    <t>(-) disminucion pasivos diferidos</t>
  </si>
  <si>
    <t>(-) disminucion otros pasivos</t>
  </si>
  <si>
    <t>Flujo de efectivo neto en actividades de operación</t>
  </si>
  <si>
    <t>Actividades de inversion</t>
  </si>
  <si>
    <t>(-) compra inversiones temporales</t>
  </si>
  <si>
    <t>(-) compra inversiones permanentes</t>
  </si>
  <si>
    <t>(-) compra propiedad planta y equipo</t>
  </si>
  <si>
    <t>(-) aumento intangibles</t>
  </si>
  <si>
    <t>(-) aumento otros activos</t>
  </si>
  <si>
    <t>(+) venta inversiones temporales</t>
  </si>
  <si>
    <t>(+) venta inversiones permanentes</t>
  </si>
  <si>
    <t>(+) venta propiedades planta y equipo</t>
  </si>
  <si>
    <t>(+) disminucion intangibles</t>
  </si>
  <si>
    <t>(+) disminucion otros activos</t>
  </si>
  <si>
    <t>Flujo de efectivo neto en actividades de inversion</t>
  </si>
  <si>
    <t>Actividades de financiacion</t>
  </si>
  <si>
    <t>(+) nuevas obligaciones financieras a largo plazo</t>
  </si>
  <si>
    <t>(+) aumento bonos y papeles comerciales</t>
  </si>
  <si>
    <t>(+) aumento capital social y/o recolocacion de acciones</t>
  </si>
  <si>
    <t>(+) aumento superavit de capital</t>
  </si>
  <si>
    <t>(-) pago de obligaciones financieras</t>
  </si>
  <si>
    <t>(-) pago de obligaciones financieras a largo plazo</t>
  </si>
  <si>
    <t>(-) disminucion bonos y papeles comerciales</t>
  </si>
  <si>
    <t>(-) disminucion capital social y/o readquisicion de acciones</t>
  </si>
  <si>
    <t>(-) disminucion superavit de capital</t>
  </si>
  <si>
    <t>(-) pago de utilidades (dividen. Particip. Giro)</t>
  </si>
  <si>
    <t>Flujo de efectivo neto en actividades financieras</t>
  </si>
  <si>
    <t>Total - aumento (disminucion) del efectivo</t>
  </si>
  <si>
    <t>Efectivo año anterior</t>
  </si>
  <si>
    <t>Efectivo presente año</t>
  </si>
  <si>
    <t>Contador  T.P.  209332-T</t>
  </si>
  <si>
    <t>CORPORACION COMUNIQUEMONOS 2016</t>
  </si>
  <si>
    <t>IMPACTOS POR CONVERGENCIA (NIIF)</t>
  </si>
  <si>
    <t>Impactos por convergencia (NIIF)</t>
  </si>
  <si>
    <t xml:space="preserve">     Inversiones - Aportes en cooperativas</t>
  </si>
  <si>
    <t xml:space="preserve">     Cartera de Crédito de consumo</t>
  </si>
  <si>
    <t xml:space="preserve">     Provisión Cartera de Crédito de consumo</t>
  </si>
  <si>
    <t xml:space="preserve">     Convenios x Cobrar (Cabaña, turismo,arreglos, odontologia)</t>
  </si>
  <si>
    <t>N.I.T.  900.384,918-8</t>
  </si>
  <si>
    <t>Depósitos</t>
  </si>
  <si>
    <t>Interes Depósitos</t>
  </si>
  <si>
    <t>Fondos Sociales y Mutuales</t>
  </si>
  <si>
    <t>Gerente</t>
  </si>
  <si>
    <t>PROYECTAR ASOCIACIÓN MUTUAL</t>
  </si>
  <si>
    <t>T.P. No 39373-T</t>
  </si>
  <si>
    <t xml:space="preserve">     Servicio Cartera de Crédito</t>
  </si>
  <si>
    <t xml:space="preserve">     Intereses y seguros</t>
  </si>
  <si>
    <t xml:space="preserve">      Costos (Interes depósitos y convenios)</t>
  </si>
  <si>
    <t xml:space="preserve">     Otras Cuentas x Cobrar</t>
  </si>
  <si>
    <t>BENEFICIOS A EMPLEADOS</t>
  </si>
  <si>
    <t>Prestaciones Sociales x Pagar</t>
  </si>
  <si>
    <t>Seguridad Social x Pagar</t>
  </si>
  <si>
    <t>Fondos de Destinación Específica</t>
  </si>
  <si>
    <t>CODIGO</t>
  </si>
  <si>
    <t>CUENTAS</t>
  </si>
  <si>
    <t>VARIACION ABSOLUTA</t>
  </si>
  <si>
    <t>VARIACION %</t>
  </si>
  <si>
    <t>EFECTIVO Y EQUIVALENTES DE EFECTIVO</t>
  </si>
  <si>
    <t>CAJA</t>
  </si>
  <si>
    <t>BANCOS Y OTRAS ENTIDADES</t>
  </si>
  <si>
    <t>EFECTIVO DE USO RESTRINGIDO Y CON DESTINACION ESPECIFICA (FONDO DE LIQUIDEZ)</t>
  </si>
  <si>
    <t xml:space="preserve">INVERSIONES                                                               </t>
  </si>
  <si>
    <t>INVERSIONES EN INSTRUMENTOS DE PATRIMONIO</t>
  </si>
  <si>
    <t xml:space="preserve">CARTERA DE CREDITO CONSUMO                                            </t>
  </si>
  <si>
    <t>CREDITOS  OTRAS GARANTIAS LIBRANZA</t>
  </si>
  <si>
    <t>CREDITOS OTRAS GARANTÍAS SIN LIBRANZA</t>
  </si>
  <si>
    <t>INTERES CREDITO DE CONSUMO</t>
  </si>
  <si>
    <t>DETERIORO CREDITOS DE CONSUMO</t>
  </si>
  <si>
    <t>DETERIORO GENERAL</t>
  </si>
  <si>
    <t xml:space="preserve">CUENTAS POR COBRAR                                            </t>
  </si>
  <si>
    <t>DEUDORES POR LA PRESTACION DE SERVICIOS</t>
  </si>
  <si>
    <t>OTRAS CUENTAS POR COBRAR</t>
  </si>
  <si>
    <t>ACTIVOS MATERIALES</t>
  </si>
  <si>
    <t>MUEBLES Y EQUIPO DE OFICINA</t>
  </si>
  <si>
    <t>EQUIPOS DE COMPUTO</t>
  </si>
  <si>
    <t>DEPRECIACIÓN MUEBLES Y EQUIPO DE OFICINA</t>
  </si>
  <si>
    <t>DEPRECIACIÓN EQUIPOS DE COMPUTO</t>
  </si>
  <si>
    <t>COD</t>
  </si>
  <si>
    <t xml:space="preserve">EXIGIBILIDADES Y DEPOSITOS                                        </t>
  </si>
  <si>
    <t>DEPOSITOS DE AHORRO</t>
  </si>
  <si>
    <t>DEPOSITOS  DE AHORRO CONTRACTUAL</t>
  </si>
  <si>
    <t xml:space="preserve">CUENTAS POR PAGAR                                               </t>
  </si>
  <si>
    <t>TOTAL RECURSOS DISPONIBLES</t>
  </si>
  <si>
    <t>TOTAL OBLIGACIONES</t>
  </si>
  <si>
    <t>LIQUIDEZ</t>
  </si>
  <si>
    <t>OTROS</t>
  </si>
  <si>
    <t xml:space="preserve">FONDOS SOCIALES. MUTUALES Y OTROS         </t>
  </si>
  <si>
    <t>COSTOS Y GASTOS POR PAGAR</t>
  </si>
  <si>
    <t>RETENCION EN LA FUENTE</t>
  </si>
  <si>
    <t>IMPUESTOS GRAVAMENES Y TASAS</t>
  </si>
  <si>
    <t>RETENCIONES Y APORTES DE NOMINA</t>
  </si>
  <si>
    <t>CUENTA</t>
  </si>
  <si>
    <t>EDUCACION FORMAL- EDUCACION INTERNA</t>
  </si>
  <si>
    <t>FONDO DE SOLIDARIDAD</t>
  </si>
  <si>
    <t>FONDO MUTUAL</t>
  </si>
  <si>
    <t xml:space="preserve">OTROS PASIVOS                                                      </t>
  </si>
  <si>
    <t xml:space="preserve">INGRESOS </t>
  </si>
  <si>
    <t>INGRESOS ORDINARIOS POR VENTA DE BIENES Y SERVICIOS</t>
  </si>
  <si>
    <t>INGRESOS CARTERA DE CREDITO</t>
  </si>
  <si>
    <t>SERVICIOS SOCIALES Y DE SALUD</t>
  </si>
  <si>
    <t>OTROS SERVICIOS</t>
  </si>
  <si>
    <t>EXCEQUIAL</t>
  </si>
  <si>
    <t>OTROS SERVICIOS SEGUROS</t>
  </si>
  <si>
    <t>APROVECHAMIENTO TURISMO</t>
  </si>
  <si>
    <t>OTROS (INTERES, AHORROS)</t>
  </si>
  <si>
    <t>ARREGLOS FLORALES</t>
  </si>
  <si>
    <t>CONVENIOS EVENTUALES</t>
  </si>
  <si>
    <t>OTROS INGRESOS</t>
  </si>
  <si>
    <t>INGRESO POR UTILIDAD EN INVERSIONES</t>
  </si>
  <si>
    <t>RECUPERACIONES DETERIORO</t>
  </si>
  <si>
    <t>OTROS INGRESOS DIFERENTES AL OBJETO SOCIAL</t>
  </si>
  <si>
    <t xml:space="preserve">COSTOS DE VENTAS </t>
  </si>
  <si>
    <t>COSTO DE PRESTACION DE SERVICIOS</t>
  </si>
  <si>
    <t>INTERES DE DEPOSITOS, CREDITOS</t>
  </si>
  <si>
    <t>GASTOS</t>
  </si>
  <si>
    <t>GASTOS DE ADMINISTRACION</t>
  </si>
  <si>
    <t>BENEFICIOS EMPLEADOS</t>
  </si>
  <si>
    <t xml:space="preserve">GASTOS  GENERALES </t>
  </si>
  <si>
    <t>DETERIORO</t>
  </si>
  <si>
    <t>DEPRECIACION ACTIVOS MATERIALES</t>
  </si>
  <si>
    <t>OTROS GASTOS</t>
  </si>
  <si>
    <t>GASTOS FINANCIEROS</t>
  </si>
  <si>
    <t>HONORARIOS</t>
  </si>
  <si>
    <t>IMPUESTOS</t>
  </si>
  <si>
    <t>MANTENIMIENTO Y REPARACIONES</t>
  </si>
  <si>
    <t>CAFETERIA</t>
  </si>
  <si>
    <t>SERVICIOS PUBLICOS</t>
  </si>
  <si>
    <t>TRANSPORTE,  FLETES Y ACARREOS</t>
  </si>
  <si>
    <t>PAPELERIA Y UTILES DE OFICINA</t>
  </si>
  <si>
    <t>GASTOS DE ASAMBLEA</t>
  </si>
  <si>
    <t>GASTOS LEGALES</t>
  </si>
  <si>
    <t>SISTEMATIZACION</t>
  </si>
  <si>
    <t>GASTOS VARIOS</t>
  </si>
  <si>
    <t>SERVICIOS TEMPORALES</t>
  </si>
  <si>
    <t>GASTOS DE REPRESENTACIÓN</t>
  </si>
  <si>
    <t>TOTAL EXCEDENTE OPERACIONAL</t>
  </si>
  <si>
    <t>TOTAL EXCEDENTE NO OPERACIONAL</t>
  </si>
  <si>
    <t>TOTAL EXCEDENTES  POR GANANCIA OCASIONAL</t>
  </si>
  <si>
    <t>GRUPO II - NIIF</t>
  </si>
  <si>
    <t>YULY F. GIRALDO C.</t>
  </si>
  <si>
    <t>PUBLICIDAD</t>
  </si>
  <si>
    <t>A DISPOSICIÓN DE LA ASAMBLEA</t>
  </si>
  <si>
    <t>PROYECTO DISTRIIBUCIÓN DE EXCEDENTES</t>
  </si>
  <si>
    <t>FONDO SOCIAL MUTAL</t>
  </si>
  <si>
    <t>RESERVA PROTECCION FONDO SOCIAL MUTUAL</t>
  </si>
  <si>
    <t>FONDO SOCIAL MUTUAL</t>
  </si>
  <si>
    <t xml:space="preserve">RESERVA PATRIMONIAL </t>
  </si>
  <si>
    <t xml:space="preserve">FONDO DE EDUCACIÓN MUTUAL </t>
  </si>
  <si>
    <t xml:space="preserve">FONDO DE SOLIDARIDAD   </t>
  </si>
  <si>
    <t xml:space="preserve">FONDO IMPREVISTOS    </t>
  </si>
  <si>
    <t xml:space="preserve">FONDO DE SOLIDARIDAD    </t>
  </si>
  <si>
    <t>TOTAL DISTRIBUCIÓN LEGAL</t>
  </si>
  <si>
    <t>NETO DISPONIBLE ASAMBLEA</t>
  </si>
  <si>
    <t>TOTAL DISTRIBUCIÓN EXCEDENTES</t>
  </si>
  <si>
    <t>RESULTADO DEL EJERCICIO</t>
  </si>
  <si>
    <t xml:space="preserve">     Fondo de liquidez</t>
  </si>
  <si>
    <t xml:space="preserve">     Anticipo de impuestos </t>
  </si>
  <si>
    <t>Creditos Particulares</t>
  </si>
  <si>
    <t xml:space="preserve">     Convenios (Excequial, turismo,florales)</t>
  </si>
  <si>
    <t xml:space="preserve">    No operacionales (Int Fondo Liquidez, </t>
  </si>
  <si>
    <t xml:space="preserve">       Provisiones </t>
  </si>
  <si>
    <t xml:space="preserve">       Depreciaciones</t>
  </si>
  <si>
    <t xml:space="preserve">      Gastos financieros</t>
  </si>
  <si>
    <t>Fondo Social Mutual</t>
  </si>
  <si>
    <t>Reserva Protección Fondo Social Mutual</t>
  </si>
  <si>
    <t>PERIODO CONTABLE 2022</t>
  </si>
  <si>
    <t>DIC DE 2022</t>
  </si>
  <si>
    <t>TURISMO</t>
  </si>
  <si>
    <t>AÑO 2022</t>
  </si>
  <si>
    <t>SEGUROS</t>
  </si>
  <si>
    <t>CONTRIBUCIONES Y AFILIACIONES</t>
  </si>
  <si>
    <t>VIGILANCIA PRIVADA</t>
  </si>
  <si>
    <t>Contador</t>
  </si>
  <si>
    <t>Contador T.P 2833-T</t>
  </si>
  <si>
    <t>PROYECTAR ASOCIACIÓN MUTUAL - 2023</t>
  </si>
  <si>
    <t>ESTADO DE SITUACION FINANCIERA A DICIEMBRE 31 DE 2023</t>
  </si>
  <si>
    <t>ESTADO DE RESULTADOS INTEGRAL A DICIEMBRE 31 DE 2023</t>
  </si>
  <si>
    <t>ESTADO DE CAMBIOS EN EL PATRIMONIO AÑO 2023</t>
  </si>
  <si>
    <t>DIC DE 2023</t>
  </si>
  <si>
    <t>AÑO 2023</t>
  </si>
  <si>
    <t xml:space="preserve">    Arrendamientos y Aprovechamientos</t>
  </si>
  <si>
    <t>Impuestos por Pagar</t>
  </si>
  <si>
    <t>ANTICIPO DE IMPUESTOS</t>
  </si>
  <si>
    <t>FONDO PARA IMPREVISTOS</t>
  </si>
  <si>
    <t>FONDO DE BIENESTAR SOCIAL</t>
  </si>
  <si>
    <t>CATEGORIA</t>
  </si>
  <si>
    <t>SALDO</t>
  </si>
  <si>
    <t>CATEGORIA A</t>
  </si>
  <si>
    <t>CATEGORIA B</t>
  </si>
  <si>
    <t>CATEGORIA C</t>
  </si>
  <si>
    <t>CATEGORIA D</t>
  </si>
  <si>
    <t>CATEGORIA E</t>
  </si>
  <si>
    <t>TOTAL</t>
  </si>
  <si>
    <t>CAPITAL SOCIAL</t>
  </si>
  <si>
    <t>FONDO MUTUAL RESULTADO POSITIVO</t>
  </si>
  <si>
    <t xml:space="preserve">RESERVAS OBLIGATORIAS                                    </t>
  </si>
  <si>
    <t>RESERVA PROTECCIÓN FONDO MUTUAL</t>
  </si>
  <si>
    <t>LIBIA M. JIMENEZ PULGARIN</t>
  </si>
  <si>
    <t>T.P. No168332 - T</t>
  </si>
  <si>
    <t>Revisora Fiscal</t>
  </si>
  <si>
    <t>NOTA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</si>
  <si>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</si>
  <si>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</si>
  <si>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</si>
  <si>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</si>
  <si>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</si>
  <si>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</si>
  <si>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</si>
  <si>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</si>
  <si>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</si>
  <si>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</si>
  <si>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</t>
  </si>
  <si>
    <t>5.12</t>
  </si>
  <si>
    <t>5.13.</t>
  </si>
  <si>
    <t>5.14.</t>
  </si>
  <si>
    <t>5.15.</t>
  </si>
  <si>
    <t>C.C. 1.036.336.568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</si>
</sst>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.0%"/>
    <numFmt numFmtId="193" formatCode="##,###,###,###,##0.00"/>
    <numFmt numFmtId="194" formatCode="###,###,###,###,##0.00"/>
    <numFmt numFmtId="195" formatCode="#,##0.0"/>
    <numFmt numFmtId="196" formatCode="###,###,###,###,##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#,##0.0000"/>
    <numFmt numFmtId="203" formatCode="#,##0.00000"/>
    <numFmt numFmtId="204" formatCode="0.0000000"/>
    <numFmt numFmtId="205" formatCode="0.000000"/>
    <numFmt numFmtId="206" formatCode="0.00000"/>
    <numFmt numFmtId="207" formatCode="0.0000"/>
    <numFmt numFmtId="208" formatCode="0.0000%"/>
    <numFmt numFmtId="209" formatCode="0.000%"/>
    <numFmt numFmtId="210" formatCode="_(* #,##0.0_);_(* \(#,##0.0\);_(* &quot;-&quot;??_);_(@_)"/>
    <numFmt numFmtId="211" formatCode="_(* #,##0_);_(* \(#,##0\);_(* &quot;-&quot;??_);_(@_)"/>
    <numFmt numFmtId="212" formatCode="_-* #,##0_-;\-* #,##0_-;_-* &quot;-&quot;??_-;_-@_-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Helv"/>
      <family val="0"/>
    </font>
    <font>
      <b/>
      <sz val="12"/>
      <name val="Helv"/>
      <family val="0"/>
    </font>
    <font>
      <sz val="11"/>
      <name val="Helv"/>
      <family val="0"/>
    </font>
    <font>
      <b/>
      <sz val="9"/>
      <name val="Tahoma"/>
      <family val="2"/>
    </font>
    <font>
      <b/>
      <u val="single"/>
      <sz val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409"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/>
    </xf>
    <xf numFmtId="192" fontId="16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92" fontId="16" fillId="33" borderId="11" xfId="0" applyNumberFormat="1" applyFont="1" applyFill="1" applyBorder="1" applyAlignment="1">
      <alignment/>
    </xf>
    <xf numFmtId="192" fontId="16" fillId="33" borderId="12" xfId="0" applyNumberFormat="1" applyFont="1" applyFill="1" applyBorder="1" applyAlignment="1">
      <alignment/>
    </xf>
    <xf numFmtId="1" fontId="8" fillId="33" borderId="13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/>
    </xf>
    <xf numFmtId="192" fontId="16" fillId="33" borderId="0" xfId="0" applyNumberFormat="1" applyFont="1" applyFill="1" applyBorder="1" applyAlignment="1">
      <alignment/>
    </xf>
    <xf numFmtId="192" fontId="17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/>
    </xf>
    <xf numFmtId="1" fontId="9" fillId="33" borderId="13" xfId="0" applyNumberFormat="1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192" fontId="9" fillId="33" borderId="0" xfId="0" applyNumberFormat="1" applyFont="1" applyFill="1" applyBorder="1" applyAlignment="1">
      <alignment horizontal="center"/>
    </xf>
    <xf numFmtId="192" fontId="9" fillId="33" borderId="14" xfId="0" applyNumberFormat="1" applyFont="1" applyFill="1" applyBorder="1" applyAlignment="1">
      <alignment horizontal="right"/>
    </xf>
    <xf numFmtId="192" fontId="17" fillId="33" borderId="0" xfId="0" applyNumberFormat="1" applyFont="1" applyFill="1" applyBorder="1" applyAlignment="1">
      <alignment/>
    </xf>
    <xf numFmtId="192" fontId="17" fillId="33" borderId="14" xfId="0" applyNumberFormat="1" applyFont="1" applyFill="1" applyBorder="1" applyAlignment="1">
      <alignment/>
    </xf>
    <xf numFmtId="1" fontId="9" fillId="33" borderId="13" xfId="0" applyNumberFormat="1" applyFont="1" applyFill="1" applyBorder="1" applyAlignment="1">
      <alignment/>
    </xf>
    <xf numFmtId="10" fontId="17" fillId="33" borderId="0" xfId="0" applyNumberFormat="1" applyFont="1" applyFill="1" applyBorder="1" applyAlignment="1">
      <alignment/>
    </xf>
    <xf numFmtId="10" fontId="17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4" fontId="17" fillId="33" borderId="0" xfId="0" applyNumberFormat="1" applyFont="1" applyFill="1" applyBorder="1" applyAlignment="1">
      <alignment/>
    </xf>
    <xf numFmtId="4" fontId="17" fillId="33" borderId="14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" fontId="8" fillId="33" borderId="0" xfId="0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9" fontId="9" fillId="33" borderId="0" xfId="0" applyNumberFormat="1" applyFont="1" applyFill="1" applyBorder="1" applyAlignment="1">
      <alignment/>
    </xf>
    <xf numFmtId="9" fontId="9" fillId="33" borderId="14" xfId="0" applyNumberFormat="1" applyFont="1" applyFill="1" applyBorder="1" applyAlignment="1">
      <alignment/>
    </xf>
    <xf numFmtId="1" fontId="9" fillId="33" borderId="15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/>
    </xf>
    <xf numFmtId="9" fontId="9" fillId="33" borderId="16" xfId="0" applyNumberFormat="1" applyFont="1" applyFill="1" applyBorder="1" applyAlignment="1">
      <alignment/>
    </xf>
    <xf numFmtId="9" fontId="9" fillId="33" borderId="17" xfId="0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192" fontId="16" fillId="33" borderId="11" xfId="0" applyNumberFormat="1" applyFont="1" applyFill="1" applyBorder="1" applyAlignment="1">
      <alignment/>
    </xf>
    <xf numFmtId="192" fontId="17" fillId="33" borderId="12" xfId="0" applyNumberFormat="1" applyFont="1" applyFill="1" applyBorder="1" applyAlignment="1" quotePrefix="1">
      <alignment/>
    </xf>
    <xf numFmtId="192" fontId="9" fillId="33" borderId="0" xfId="0" applyNumberFormat="1" applyFont="1" applyFill="1" applyBorder="1" applyAlignment="1">
      <alignment/>
    </xf>
    <xf numFmtId="192" fontId="9" fillId="33" borderId="14" xfId="0" applyNumberFormat="1" applyFont="1" applyFill="1" applyBorder="1" applyAlignment="1">
      <alignment/>
    </xf>
    <xf numFmtId="192" fontId="16" fillId="33" borderId="14" xfId="0" applyNumberFormat="1" applyFont="1" applyFill="1" applyBorder="1" applyAlignment="1">
      <alignment/>
    </xf>
    <xf numFmtId="9" fontId="9" fillId="33" borderId="18" xfId="0" applyNumberFormat="1" applyFont="1" applyFill="1" applyBorder="1" applyAlignment="1">
      <alignment/>
    </xf>
    <xf numFmtId="9" fontId="9" fillId="33" borderId="19" xfId="0" applyNumberFormat="1" applyFont="1" applyFill="1" applyBorder="1" applyAlignment="1">
      <alignment/>
    </xf>
    <xf numFmtId="1" fontId="9" fillId="33" borderId="13" xfId="0" applyNumberFormat="1" applyFont="1" applyFill="1" applyBorder="1" applyAlignment="1">
      <alignment horizontal="left"/>
    </xf>
    <xf numFmtId="192" fontId="17" fillId="33" borderId="14" xfId="0" applyNumberFormat="1" applyFont="1" applyFill="1" applyBorder="1" applyAlignment="1" quotePrefix="1">
      <alignment/>
    </xf>
    <xf numFmtId="1" fontId="8" fillId="33" borderId="13" xfId="0" applyNumberFormat="1" applyFont="1" applyFill="1" applyBorder="1" applyAlignment="1">
      <alignment/>
    </xf>
    <xf numFmtId="192" fontId="16" fillId="33" borderId="14" xfId="0" applyNumberFormat="1" applyFont="1" applyFill="1" applyBorder="1" applyAlignment="1">
      <alignment/>
    </xf>
    <xf numFmtId="0" fontId="9" fillId="33" borderId="13" xfId="0" applyFont="1" applyFill="1" applyBorder="1" applyAlignment="1" applyProtection="1">
      <alignment horizontal="left"/>
      <protection/>
    </xf>
    <xf numFmtId="192" fontId="16" fillId="33" borderId="14" xfId="0" applyNumberFormat="1" applyFont="1" applyFill="1" applyBorder="1" applyAlignment="1">
      <alignment horizontal="right"/>
    </xf>
    <xf numFmtId="0" fontId="8" fillId="33" borderId="13" xfId="0" applyFont="1" applyFill="1" applyBorder="1" applyAlignment="1" applyProtection="1">
      <alignment/>
      <protection/>
    </xf>
    <xf numFmtId="192" fontId="18" fillId="33" borderId="14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39" fontId="8" fillId="33" borderId="14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horizontal="center" vertical="top" wrapText="1"/>
    </xf>
    <xf numFmtId="192" fontId="16" fillId="33" borderId="16" xfId="0" applyNumberFormat="1" applyFont="1" applyFill="1" applyBorder="1" applyAlignment="1">
      <alignment/>
    </xf>
    <xf numFmtId="192" fontId="16" fillId="33" borderId="17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9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3" borderId="11" xfId="0" applyNumberFormat="1" applyFont="1" applyFill="1" applyBorder="1" applyAlignment="1">
      <alignment horizontal="center"/>
    </xf>
    <xf numFmtId="39" fontId="8" fillId="33" borderId="12" xfId="0" applyNumberFormat="1" applyFont="1" applyFill="1" applyBorder="1" applyAlignment="1">
      <alignment horizontal="right"/>
    </xf>
    <xf numFmtId="4" fontId="15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4" fontId="8" fillId="33" borderId="14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1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4" fontId="9" fillId="33" borderId="0" xfId="0" applyNumberFormat="1" applyFont="1" applyFill="1" applyBorder="1" applyAlignment="1" applyProtection="1">
      <alignment horizontal="right"/>
      <protection/>
    </xf>
    <xf numFmtId="10" fontId="9" fillId="33" borderId="14" xfId="0" applyNumberFormat="1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8" fillId="33" borderId="13" xfId="0" applyFont="1" applyFill="1" applyBorder="1" applyAlignment="1" applyProtection="1">
      <alignment horizontal="left"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 applyProtection="1">
      <alignment horizontal="right"/>
      <protection/>
    </xf>
    <xf numFmtId="10" fontId="8" fillId="33" borderId="14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 horizontal="right"/>
    </xf>
    <xf numFmtId="39" fontId="8" fillId="33" borderId="14" xfId="0" applyNumberFormat="1" applyFont="1" applyFill="1" applyBorder="1" applyAlignment="1" applyProtection="1">
      <alignment horizontal="right"/>
      <protection/>
    </xf>
    <xf numFmtId="3" fontId="15" fillId="33" borderId="0" xfId="0" applyNumberFormat="1" applyFont="1" applyFill="1" applyAlignment="1">
      <alignment/>
    </xf>
    <xf numFmtId="39" fontId="8" fillId="33" borderId="14" xfId="0" applyNumberFormat="1" applyFont="1" applyFill="1" applyBorder="1" applyAlignment="1">
      <alignment horizontal="right"/>
    </xf>
    <xf numFmtId="39" fontId="9" fillId="33" borderId="14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/>
    </xf>
    <xf numFmtId="3" fontId="9" fillId="33" borderId="18" xfId="0" applyNumberFormat="1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right"/>
    </xf>
    <xf numFmtId="39" fontId="0" fillId="33" borderId="14" xfId="0" applyNumberFormat="1" applyFont="1" applyFill="1" applyBorder="1" applyAlignment="1">
      <alignment horizontal="right"/>
    </xf>
    <xf numFmtId="0" fontId="1" fillId="33" borderId="13" xfId="0" applyFont="1" applyFill="1" applyBorder="1" applyAlignment="1" applyProtection="1">
      <alignment horizontal="left"/>
      <protection/>
    </xf>
    <xf numFmtId="4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39" fontId="7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/>
    </xf>
    <xf numFmtId="1" fontId="0" fillId="33" borderId="16" xfId="0" applyNumberFormat="1" applyFont="1" applyFill="1" applyBorder="1" applyAlignment="1">
      <alignment horizontal="left"/>
    </xf>
    <xf numFmtId="4" fontId="7" fillId="33" borderId="16" xfId="0" applyNumberFormat="1" applyFont="1" applyFill="1" applyBorder="1" applyAlignment="1">
      <alignment horizontal="right"/>
    </xf>
    <xf numFmtId="39" fontId="7" fillId="33" borderId="17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right"/>
    </xf>
    <xf numFmtId="39" fontId="7" fillId="33" borderId="0" xfId="0" applyNumberFormat="1" applyFont="1" applyFill="1" applyBorder="1" applyAlignment="1">
      <alignment horizontal="right"/>
    </xf>
    <xf numFmtId="1" fontId="19" fillId="33" borderId="0" xfId="0" applyNumberFormat="1" applyFont="1" applyFill="1" applyAlignment="1">
      <alignment horizontal="center"/>
    </xf>
    <xf numFmtId="39" fontId="0" fillId="33" borderId="0" xfId="0" applyNumberFormat="1" applyFill="1" applyAlignment="1">
      <alignment horizontal="right"/>
    </xf>
    <xf numFmtId="4" fontId="0" fillId="33" borderId="0" xfId="0" applyNumberForma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 applyProtection="1">
      <alignment/>
      <protection/>
    </xf>
    <xf numFmtId="49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49" fontId="1" fillId="33" borderId="12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1" fontId="0" fillId="33" borderId="1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 applyProtection="1">
      <alignment/>
      <protection/>
    </xf>
    <xf numFmtId="3" fontId="0" fillId="33" borderId="14" xfId="0" applyNumberFormat="1" applyFill="1" applyBorder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" fontId="1" fillId="33" borderId="14" xfId="0" applyNumberFormat="1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4" fillId="33" borderId="0" xfId="0" applyNumberFormat="1" applyFont="1" applyFill="1" applyAlignment="1" applyProtection="1">
      <alignment horizontal="center"/>
      <protection/>
    </xf>
    <xf numFmtId="0" fontId="1" fillId="33" borderId="0" xfId="55" applyFont="1" applyFill="1" applyAlignment="1">
      <alignment/>
      <protection/>
    </xf>
    <xf numFmtId="1" fontId="0" fillId="33" borderId="13" xfId="0" applyNumberFormat="1" applyFont="1" applyFill="1" applyBorder="1" applyAlignment="1">
      <alignment/>
    </xf>
    <xf numFmtId="1" fontId="9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68" fillId="33" borderId="0" xfId="0" applyNumberFormat="1" applyFont="1" applyFill="1" applyAlignment="1">
      <alignment horizontal="right"/>
    </xf>
    <xf numFmtId="0" fontId="1" fillId="33" borderId="16" xfId="0" applyFont="1" applyFill="1" applyBorder="1" applyAlignment="1">
      <alignment horizontal="center"/>
    </xf>
    <xf numFmtId="3" fontId="68" fillId="33" borderId="20" xfId="0" applyNumberFormat="1" applyFont="1" applyFill="1" applyBorder="1" applyAlignment="1">
      <alignment horizontal="left"/>
    </xf>
    <xf numFmtId="3" fontId="1" fillId="33" borderId="21" xfId="0" applyNumberFormat="1" applyFont="1" applyFill="1" applyBorder="1" applyAlignment="1">
      <alignment horizontal="center"/>
    </xf>
    <xf numFmtId="3" fontId="69" fillId="33" borderId="22" xfId="0" applyNumberFormat="1" applyFont="1" applyFill="1" applyBorder="1" applyAlignment="1">
      <alignment horizontal="left"/>
    </xf>
    <xf numFmtId="3" fontId="68" fillId="33" borderId="23" xfId="0" applyNumberFormat="1" applyFont="1" applyFill="1" applyBorder="1" applyAlignment="1">
      <alignment horizontal="right"/>
    </xf>
    <xf numFmtId="3" fontId="51" fillId="33" borderId="22" xfId="0" applyNumberFormat="1" applyFont="1" applyFill="1" applyBorder="1" applyAlignment="1">
      <alignment horizontal="left"/>
    </xf>
    <xf numFmtId="3" fontId="51" fillId="33" borderId="23" xfId="0" applyNumberFormat="1" applyFont="1" applyFill="1" applyBorder="1" applyAlignment="1">
      <alignment horizontal="right"/>
    </xf>
    <xf numFmtId="3" fontId="67" fillId="33" borderId="22" xfId="0" applyNumberFormat="1" applyFont="1" applyFill="1" applyBorder="1" applyAlignment="1">
      <alignment horizontal="left"/>
    </xf>
    <xf numFmtId="3" fontId="51" fillId="33" borderId="22" xfId="0" applyNumberFormat="1" applyFont="1" applyFill="1" applyBorder="1" applyAlignment="1">
      <alignment/>
    </xf>
    <xf numFmtId="3" fontId="67" fillId="33" borderId="23" xfId="0" applyNumberFormat="1" applyFont="1" applyFill="1" applyBorder="1" applyAlignment="1">
      <alignment horizontal="right"/>
    </xf>
    <xf numFmtId="3" fontId="51" fillId="33" borderId="23" xfId="0" applyNumberFormat="1" applyFont="1" applyFill="1" applyBorder="1" applyAlignment="1" quotePrefix="1">
      <alignment horizontal="right"/>
    </xf>
    <xf numFmtId="3" fontId="67" fillId="33" borderId="24" xfId="0" applyNumberFormat="1" applyFont="1" applyFill="1" applyBorder="1" applyAlignment="1">
      <alignment horizontal="left"/>
    </xf>
    <xf numFmtId="3" fontId="67" fillId="33" borderId="25" xfId="0" applyNumberFormat="1" applyFont="1" applyFill="1" applyBorder="1" applyAlignment="1">
      <alignment horizontal="right"/>
    </xf>
    <xf numFmtId="3" fontId="69" fillId="33" borderId="13" xfId="0" applyNumberFormat="1" applyFont="1" applyFill="1" applyBorder="1" applyAlignment="1">
      <alignment horizontal="left"/>
    </xf>
    <xf numFmtId="3" fontId="69" fillId="33" borderId="14" xfId="0" applyNumberFormat="1" applyFont="1" applyFill="1" applyBorder="1" applyAlignment="1">
      <alignment horizontal="right"/>
    </xf>
    <xf numFmtId="3" fontId="68" fillId="33" borderId="13" xfId="0" applyNumberFormat="1" applyFont="1" applyFill="1" applyBorder="1" applyAlignment="1">
      <alignment horizontal="left"/>
    </xf>
    <xf numFmtId="3" fontId="68" fillId="33" borderId="14" xfId="0" applyNumberFormat="1" applyFont="1" applyFill="1" applyBorder="1" applyAlignment="1">
      <alignment horizontal="right"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3" fontId="68" fillId="33" borderId="0" xfId="0" applyNumberFormat="1" applyFont="1" applyFill="1" applyAlignment="1">
      <alignment horizontal="left"/>
    </xf>
    <xf numFmtId="0" fontId="0" fillId="33" borderId="10" xfId="0" applyFill="1" applyBorder="1" applyAlignment="1">
      <alignment/>
    </xf>
    <xf numFmtId="3" fontId="1" fillId="33" borderId="12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1" fontId="8" fillId="33" borderId="13" xfId="0" applyNumberFormat="1" applyFont="1" applyFill="1" applyBorder="1" applyAlignment="1">
      <alignment horizontal="left"/>
    </xf>
    <xf numFmtId="4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9" fillId="33" borderId="26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9" fillId="33" borderId="18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/>
      <protection/>
    </xf>
    <xf numFmtId="3" fontId="8" fillId="33" borderId="16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4" fontId="13" fillId="0" borderId="17" xfId="0" applyNumberFormat="1" applyFont="1" applyBorder="1" applyAlignment="1">
      <alignment horizontal="right" vertical="center"/>
    </xf>
    <xf numFmtId="10" fontId="13" fillId="0" borderId="17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4" fontId="14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3" fillId="0" borderId="29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8" xfId="0" applyFont="1" applyBorder="1" applyAlignment="1">
      <alignment horizontal="right" vertical="center"/>
    </xf>
    <xf numFmtId="0" fontId="71" fillId="0" borderId="28" xfId="0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right" vertical="center"/>
    </xf>
    <xf numFmtId="3" fontId="71" fillId="0" borderId="17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8" fillId="33" borderId="0" xfId="0" applyNumberFormat="1" applyFont="1" applyFill="1" applyAlignment="1">
      <alignment/>
    </xf>
    <xf numFmtId="0" fontId="71" fillId="34" borderId="30" xfId="0" applyFont="1" applyFill="1" applyBorder="1" applyAlignment="1">
      <alignment vertical="center"/>
    </xf>
    <xf numFmtId="0" fontId="71" fillId="35" borderId="30" xfId="0" applyFont="1" applyFill="1" applyBorder="1" applyAlignment="1">
      <alignment vertical="center"/>
    </xf>
    <xf numFmtId="0" fontId="71" fillId="34" borderId="30" xfId="0" applyFont="1" applyFill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4" fontId="13" fillId="0" borderId="30" xfId="0" applyNumberFormat="1" applyFont="1" applyBorder="1" applyAlignment="1">
      <alignment horizontal="right" vertical="center"/>
    </xf>
    <xf numFmtId="4" fontId="71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center" vertical="center" wrapText="1"/>
    </xf>
    <xf numFmtId="0" fontId="71" fillId="34" borderId="22" xfId="0" applyFont="1" applyFill="1" applyBorder="1" applyAlignment="1">
      <alignment horizontal="center" vertical="center"/>
    </xf>
    <xf numFmtId="0" fontId="71" fillId="34" borderId="23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10" fontId="13" fillId="0" borderId="23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4" fontId="13" fillId="0" borderId="32" xfId="0" applyNumberFormat="1" applyFont="1" applyBorder="1" applyAlignment="1">
      <alignment horizontal="right" vertical="center"/>
    </xf>
    <xf numFmtId="4" fontId="71" fillId="0" borderId="32" xfId="0" applyNumberFormat="1" applyFont="1" applyBorder="1" applyAlignment="1">
      <alignment horizontal="right" vertical="center"/>
    </xf>
    <xf numFmtId="10" fontId="13" fillId="0" borderId="25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3" fillId="0" borderId="30" xfId="0" applyFont="1" applyBorder="1" applyAlignment="1">
      <alignment horizontal="center" vertical="center" wrapText="1"/>
    </xf>
    <xf numFmtId="3" fontId="71" fillId="0" borderId="30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vertical="center" wrapText="1"/>
    </xf>
    <xf numFmtId="0" fontId="14" fillId="0" borderId="30" xfId="0" applyFont="1" applyBorder="1" applyAlignment="1">
      <alignment vertical="center"/>
    </xf>
    <xf numFmtId="3" fontId="72" fillId="0" borderId="30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vertical="center" wrapText="1"/>
    </xf>
    <xf numFmtId="3" fontId="13" fillId="0" borderId="30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 vertical="center" wrapText="1"/>
    </xf>
    <xf numFmtId="0" fontId="13" fillId="0" borderId="22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32" xfId="0" applyFont="1" applyBorder="1" applyAlignment="1">
      <alignment vertical="center" wrapText="1"/>
    </xf>
    <xf numFmtId="3" fontId="72" fillId="0" borderId="32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horizontal="right" vertical="center"/>
    </xf>
    <xf numFmtId="0" fontId="71" fillId="35" borderId="30" xfId="0" applyFont="1" applyFill="1" applyBorder="1" applyAlignment="1">
      <alignment vertical="center" wrapText="1"/>
    </xf>
    <xf numFmtId="3" fontId="71" fillId="35" borderId="30" xfId="0" applyNumberFormat="1" applyFont="1" applyFill="1" applyBorder="1" applyAlignment="1">
      <alignment horizontal="right" vertical="center"/>
    </xf>
    <xf numFmtId="0" fontId="13" fillId="35" borderId="20" xfId="0" applyFont="1" applyFill="1" applyBorder="1" applyAlignment="1">
      <alignment horizontal="right" vertical="center"/>
    </xf>
    <xf numFmtId="0" fontId="71" fillId="35" borderId="31" xfId="0" applyFont="1" applyFill="1" applyBorder="1" applyAlignment="1">
      <alignment vertical="center" wrapText="1"/>
    </xf>
    <xf numFmtId="0" fontId="71" fillId="35" borderId="31" xfId="0" applyFont="1" applyFill="1" applyBorder="1" applyAlignment="1">
      <alignment horizontal="right" vertical="center"/>
    </xf>
    <xf numFmtId="0" fontId="71" fillId="35" borderId="21" xfId="0" applyFont="1" applyFill="1" applyBorder="1" applyAlignment="1">
      <alignment horizontal="right" vertical="center"/>
    </xf>
    <xf numFmtId="0" fontId="71" fillId="35" borderId="22" xfId="0" applyFont="1" applyFill="1" applyBorder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2" fillId="36" borderId="31" xfId="0" applyFont="1" applyFill="1" applyBorder="1" applyAlignment="1">
      <alignment horizontal="right" vertical="center" wrapText="1"/>
    </xf>
    <xf numFmtId="17" fontId="71" fillId="35" borderId="31" xfId="0" applyNumberFormat="1" applyFont="1" applyFill="1" applyBorder="1" applyAlignment="1">
      <alignment horizontal="center" vertical="center"/>
    </xf>
    <xf numFmtId="0" fontId="22" fillId="36" borderId="31" xfId="0" applyFont="1" applyFill="1" applyBorder="1" applyAlignment="1">
      <alignment horizontal="center" vertical="center" wrapText="1"/>
    </xf>
    <xf numFmtId="0" fontId="71" fillId="35" borderId="21" xfId="0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 wrapText="1"/>
    </xf>
    <xf numFmtId="0" fontId="71" fillId="0" borderId="31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9" fontId="9" fillId="33" borderId="26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9" fontId="9" fillId="33" borderId="33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right"/>
    </xf>
    <xf numFmtId="211" fontId="0" fillId="0" borderId="0" xfId="49" applyNumberFormat="1" applyFont="1" applyAlignment="1">
      <alignment/>
    </xf>
    <xf numFmtId="212" fontId="0" fillId="0" borderId="0" xfId="49" applyNumberFormat="1" applyFont="1" applyFill="1" applyAlignment="1">
      <alignment/>
    </xf>
    <xf numFmtId="211" fontId="0" fillId="0" borderId="30" xfId="49" applyNumberFormat="1" applyFont="1" applyBorder="1" applyAlignment="1">
      <alignment/>
    </xf>
    <xf numFmtId="211" fontId="0" fillId="0" borderId="30" xfId="49" applyNumberFormat="1" applyFont="1" applyBorder="1" applyAlignment="1">
      <alignment/>
    </xf>
    <xf numFmtId="9" fontId="0" fillId="0" borderId="30" xfId="49" applyNumberFormat="1" applyFont="1" applyBorder="1" applyAlignment="1">
      <alignment/>
    </xf>
    <xf numFmtId="211" fontId="0" fillId="12" borderId="30" xfId="49" applyNumberFormat="1" applyFont="1" applyFill="1" applyBorder="1" applyAlignment="1">
      <alignment/>
    </xf>
    <xf numFmtId="9" fontId="0" fillId="12" borderId="30" xfId="49" applyNumberFormat="1" applyFont="1" applyFill="1" applyBorder="1" applyAlignment="1">
      <alignment/>
    </xf>
    <xf numFmtId="211" fontId="1" fillId="0" borderId="30" xfId="49" applyNumberFormat="1" applyFont="1" applyBorder="1" applyAlignment="1">
      <alignment/>
    </xf>
    <xf numFmtId="9" fontId="1" fillId="0" borderId="30" xfId="49" applyNumberFormat="1" applyFont="1" applyBorder="1" applyAlignment="1">
      <alignment/>
    </xf>
    <xf numFmtId="9" fontId="0" fillId="0" borderId="30" xfId="49" applyNumberFormat="1" applyFont="1" applyBorder="1" applyAlignment="1">
      <alignment/>
    </xf>
    <xf numFmtId="211" fontId="0" fillId="12" borderId="30" xfId="49" applyNumberFormat="1" applyFont="1" applyFill="1" applyBorder="1" applyAlignment="1">
      <alignment/>
    </xf>
    <xf numFmtId="4" fontId="17" fillId="33" borderId="0" xfId="0" applyNumberFormat="1" applyFont="1" applyFill="1" applyAlignment="1">
      <alignment/>
    </xf>
    <xf numFmtId="192" fontId="16" fillId="33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 wrapText="1"/>
    </xf>
    <xf numFmtId="4" fontId="4" fillId="0" borderId="0" xfId="0" applyNumberFormat="1" applyFont="1" applyFill="1" applyAlignment="1" applyProtection="1">
      <alignment horizontal="center"/>
      <protection/>
    </xf>
    <xf numFmtId="3" fontId="9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192" fontId="9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 applyProtection="1">
      <alignment horizontal="right"/>
      <protection/>
    </xf>
    <xf numFmtId="39" fontId="9" fillId="0" borderId="0" xfId="0" applyNumberFormat="1" applyFont="1" applyFill="1" applyBorder="1" applyAlignment="1" applyProtection="1">
      <alignment horizontal="right"/>
      <protection/>
    </xf>
    <xf numFmtId="39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39" fontId="9" fillId="0" borderId="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7" fillId="0" borderId="16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/>
    </xf>
    <xf numFmtId="192" fontId="16" fillId="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192" fontId="16" fillId="0" borderId="0" xfId="0" applyNumberFormat="1" applyFont="1" applyFill="1" applyAlignment="1">
      <alignment/>
    </xf>
    <xf numFmtId="3" fontId="9" fillId="0" borderId="26" xfId="0" applyNumberFormat="1" applyFont="1" applyFill="1" applyBorder="1" applyAlignment="1">
      <alignment/>
    </xf>
    <xf numFmtId="9" fontId="9" fillId="0" borderId="26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9" fontId="9" fillId="0" borderId="16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92" fontId="17" fillId="0" borderId="11" xfId="0" applyNumberFormat="1" applyFont="1" applyFill="1" applyBorder="1" applyAlignment="1" quotePrefix="1">
      <alignment/>
    </xf>
    <xf numFmtId="192" fontId="9" fillId="0" borderId="0" xfId="0" applyNumberFormat="1" applyFont="1" applyFill="1" applyBorder="1" applyAlignment="1">
      <alignment/>
    </xf>
    <xf numFmtId="192" fontId="9" fillId="0" borderId="0" xfId="0" applyNumberFormat="1" applyFont="1" applyFill="1" applyAlignment="1">
      <alignment/>
    </xf>
    <xf numFmtId="3" fontId="9" fillId="0" borderId="18" xfId="0" applyNumberFormat="1" applyFont="1" applyFill="1" applyBorder="1" applyAlignment="1">
      <alignment/>
    </xf>
    <xf numFmtId="9" fontId="9" fillId="0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192" fontId="16" fillId="0" borderId="0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/>
    </xf>
    <xf numFmtId="3" fontId="5" fillId="33" borderId="14" xfId="0" applyNumberFormat="1" applyFont="1" applyFill="1" applyBorder="1" applyAlignment="1">
      <alignment horizontal="center"/>
    </xf>
    <xf numFmtId="10" fontId="9" fillId="33" borderId="19" xfId="0" applyNumberFormat="1" applyFont="1" applyFill="1" applyBorder="1" applyAlignment="1">
      <alignment horizontal="right"/>
    </xf>
    <xf numFmtId="171" fontId="0" fillId="0" borderId="0" xfId="49" applyNumberFormat="1" applyFont="1" applyAlignment="1">
      <alignment/>
    </xf>
    <xf numFmtId="171" fontId="8" fillId="33" borderId="0" xfId="49" applyFont="1" applyFill="1" applyAlignment="1">
      <alignment/>
    </xf>
    <xf numFmtId="1" fontId="9" fillId="33" borderId="0" xfId="0" applyNumberFormat="1" applyFont="1" applyFill="1" applyBorder="1" applyAlignment="1">
      <alignment horizontal="left"/>
    </xf>
    <xf numFmtId="212" fontId="0" fillId="0" borderId="0" xfId="49" applyNumberFormat="1" applyFont="1" applyAlignment="1">
      <alignment/>
    </xf>
    <xf numFmtId="0" fontId="13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4" fontId="0" fillId="0" borderId="0" xfId="0" applyNumberFormat="1" applyAlignment="1">
      <alignment/>
    </xf>
    <xf numFmtId="4" fontId="8" fillId="33" borderId="0" xfId="0" applyNumberFormat="1" applyFont="1" applyFill="1" applyAlignment="1">
      <alignment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0" fontId="13" fillId="0" borderId="0" xfId="0" applyNumberFormat="1" applyFont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left"/>
    </xf>
    <xf numFmtId="1" fontId="8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" fontId="10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33" borderId="0" xfId="55" applyFont="1" applyFill="1" applyAlignment="1">
      <alignment horizontal="center"/>
      <protection/>
    </xf>
    <xf numFmtId="3" fontId="1" fillId="33" borderId="13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211" fontId="1" fillId="0" borderId="30" xfId="49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3" fontId="73" fillId="33" borderId="13" xfId="0" applyNumberFormat="1" applyFont="1" applyFill="1" applyBorder="1" applyAlignment="1">
      <alignment horizontal="center"/>
    </xf>
    <xf numFmtId="3" fontId="73" fillId="33" borderId="14" xfId="0" applyNumberFormat="1" applyFont="1" applyFill="1" applyBorder="1" applyAlignment="1">
      <alignment horizontal="center"/>
    </xf>
    <xf numFmtId="3" fontId="73" fillId="33" borderId="15" xfId="0" applyNumberFormat="1" applyFont="1" applyFill="1" applyBorder="1" applyAlignment="1">
      <alignment horizontal="center"/>
    </xf>
    <xf numFmtId="3" fontId="73" fillId="33" borderId="17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INGRESOS ULTIMOS 6 AÑOS PROYECTAR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515"/>
          <c:w val="0.9607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Ingresos!$A$4:$A$9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0504D"/>
                </a:gs>
                <a:gs pos="61000">
                  <a:srgbClr val="92D050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Ingresos!$B$4:$B$9</c:f>
              <c:numCache/>
            </c:numRef>
          </c:val>
        </c:ser>
        <c:overlap val="-27"/>
        <c:gapWidth val="219"/>
        <c:axId val="41668994"/>
        <c:axId val="39476627"/>
      </c:barChart>
      <c:catAx>
        <c:axId val="41668994"/>
        <c:scaling>
          <c:orientation val="minMax"/>
        </c:scaling>
        <c:axPos val="b"/>
        <c:delete val="1"/>
        <c:majorTickMark val="out"/>
        <c:minorTickMark val="none"/>
        <c:tickLblPos val="nextTo"/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41668994"/>
        <c:crossesAt val="1"/>
        <c:crossBetween val="between"/>
        <c:dispUnits/>
      </c:valAx>
      <c:spPr>
        <a:noFill/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PATRIMONIO ULTIMOS 6 AÑOS PROYECTAR</a:t>
            </a:r>
          </a:p>
        </c:rich>
      </c:tx>
      <c:layout>
        <c:manualLayout>
          <c:xMode val="factor"/>
          <c:yMode val="factor"/>
          <c:x val="-0.00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925"/>
          <c:w val="0.96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Patrimonio!$A$4:$A$9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BB59"/>
                </a:gs>
                <a:gs pos="8000">
                  <a:srgbClr val="FFFFFF"/>
                </a:gs>
                <a:gs pos="100000">
                  <a:srgbClr val="FFC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66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Patrimonio!$B$4:$B$9</c:f>
              <c:numCache/>
            </c:numRef>
          </c:val>
        </c:ser>
        <c:overlap val="-27"/>
        <c:gapWidth val="219"/>
        <c:axId val="19745324"/>
        <c:axId val="43490189"/>
      </c:barChart>
      <c:catAx>
        <c:axId val="19745324"/>
        <c:scaling>
          <c:orientation val="minMax"/>
        </c:scaling>
        <c:axPos val="b"/>
        <c:delete val="1"/>
        <c:majorTickMark val="out"/>
        <c:minorTickMark val="none"/>
        <c:tickLblPos val="nextTo"/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19745324"/>
        <c:crossesAt val="1"/>
        <c:crossBetween val="between"/>
        <c:dispUnits/>
      </c:valAx>
      <c:spPr>
        <a:gradFill rotWithShape="1">
          <a:gsLst>
            <a:gs pos="0">
              <a:srgbClr val="9BBB59"/>
            </a:gs>
            <a:gs pos="8000">
              <a:srgbClr val="FFFFFF"/>
            </a:gs>
            <a:gs pos="100000">
              <a:srgbClr val="953735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</xdr:col>
      <xdr:colOff>1276350</xdr:colOff>
      <xdr:row>3</xdr:row>
      <xdr:rowOff>95250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171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142875</xdr:rowOff>
    </xdr:from>
    <xdr:to>
      <xdr:col>1</xdr:col>
      <xdr:colOff>1228725</xdr:colOff>
      <xdr:row>40</xdr:row>
      <xdr:rowOff>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010525"/>
          <a:ext cx="1171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85725</xdr:rowOff>
    </xdr:from>
    <xdr:to>
      <xdr:col>1</xdr:col>
      <xdr:colOff>1390650</xdr:colOff>
      <xdr:row>3</xdr:row>
      <xdr:rowOff>114300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1257300</xdr:colOff>
      <xdr:row>4</xdr:row>
      <xdr:rowOff>57150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71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5</xdr:row>
      <xdr:rowOff>0</xdr:rowOff>
    </xdr:from>
    <xdr:to>
      <xdr:col>9</xdr:col>
      <xdr:colOff>342900</xdr:colOff>
      <xdr:row>21</xdr:row>
      <xdr:rowOff>152400</xdr:rowOff>
    </xdr:to>
    <xdr:graphicFrame>
      <xdr:nvGraphicFramePr>
        <xdr:cNvPr id="1" name="Gráfico 2"/>
        <xdr:cNvGraphicFramePr/>
      </xdr:nvGraphicFramePr>
      <xdr:xfrm>
        <a:off x="2628900" y="809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</xdr:row>
      <xdr:rowOff>152400</xdr:rowOff>
    </xdr:from>
    <xdr:to>
      <xdr:col>11</xdr:col>
      <xdr:colOff>152400</xdr:colOff>
      <xdr:row>21</xdr:row>
      <xdr:rowOff>142875</xdr:rowOff>
    </xdr:to>
    <xdr:graphicFrame>
      <xdr:nvGraphicFramePr>
        <xdr:cNvPr id="1" name="Gráfico 2"/>
        <xdr:cNvGraphicFramePr/>
      </xdr:nvGraphicFramePr>
      <xdr:xfrm>
        <a:off x="3962400" y="800100"/>
        <a:ext cx="4905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57150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wnloads\Estados%20Financieros%202015%20Comuniquem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DIC2013"/>
      <sheetName val="BALDIC2012"/>
      <sheetName val="NOTAS"/>
      <sheetName val="BALANCE GENERAL"/>
      <sheetName val="EST. DE RESUL."/>
      <sheetName val="PATRIM."/>
      <sheetName val="CAMB POSIC FRA 2015"/>
      <sheetName val="FLUJO EFECT 2015"/>
      <sheetName val="GRAF BCE GRAL"/>
      <sheetName val="GRAF UTILIDADES"/>
      <sheetName val="CPIS 2013"/>
      <sheetName val="GRAF PATRIMONIO"/>
    </sheetNames>
    <sheetDataSet>
      <sheetData sheetId="3">
        <row r="2">
          <cell r="D2" t="str">
            <v>N.I.T.  900.155.293-1</v>
          </cell>
        </row>
        <row r="74">
          <cell r="B74" t="str">
            <v>JOEL SUAREZ OSPINA</v>
          </cell>
          <cell r="D74" t="str">
            <v>LUIS FERNANDO GUARIN OSPINA</v>
          </cell>
          <cell r="G74" t="str">
            <v>ORLANDO DE JESUS JIMENES</v>
          </cell>
        </row>
        <row r="75">
          <cell r="B75" t="str">
            <v>Director Ejecutivo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4"/>
  <sheetViews>
    <sheetView zoomScalePageLayoutView="0" workbookViewId="0" topLeftCell="A13">
      <selection activeCell="M27" sqref="M27"/>
    </sheetView>
  </sheetViews>
  <sheetFormatPr defaultColWidth="11.421875" defaultRowHeight="12.75"/>
  <cols>
    <col min="1" max="1" width="7.00390625" style="0" bestFit="1" customWidth="1"/>
    <col min="2" max="2" width="38.421875" style="0" customWidth="1"/>
    <col min="3" max="3" width="11.7109375" style="0" bestFit="1" customWidth="1"/>
    <col min="5" max="5" width="13.421875" style="0" customWidth="1"/>
    <col min="7" max="7" width="1.8515625" style="0" customWidth="1"/>
    <col min="8" max="8" width="12.421875" style="216" bestFit="1" customWidth="1"/>
    <col min="9" max="9" width="12.28125" style="216" bestFit="1" customWidth="1"/>
    <col min="10" max="13" width="11.421875" style="216" customWidth="1"/>
  </cols>
  <sheetData>
    <row r="2" ht="13.5" thickBot="1"/>
    <row r="3" spans="1:6" ht="21" thickBot="1">
      <c r="A3" s="204" t="s">
        <v>171</v>
      </c>
      <c r="B3" s="205" t="s">
        <v>172</v>
      </c>
      <c r="C3" s="206" t="s">
        <v>296</v>
      </c>
      <c r="D3" s="206" t="s">
        <v>284</v>
      </c>
      <c r="E3" s="207" t="s">
        <v>173</v>
      </c>
      <c r="F3" s="205" t="s">
        <v>174</v>
      </c>
    </row>
    <row r="4" spans="1:6" ht="13.5" thickBot="1">
      <c r="A4" s="217">
        <v>11</v>
      </c>
      <c r="B4" s="209" t="s">
        <v>175</v>
      </c>
      <c r="C4" s="222">
        <f>SUM(C5:C7)</f>
        <v>31689748</v>
      </c>
      <c r="D4" s="222">
        <f>SUM(D5:D7)</f>
        <v>19189434.66</v>
      </c>
      <c r="E4" s="223">
        <f>+C4-D4</f>
        <v>12500313.34</v>
      </c>
      <c r="F4" s="211">
        <f>+((C4/D4)-1)</f>
        <v>0.6514164466792061</v>
      </c>
    </row>
    <row r="5" spans="1:6" ht="13.5" thickBot="1">
      <c r="A5" s="212">
        <v>1105</v>
      </c>
      <c r="B5" s="213" t="s">
        <v>176</v>
      </c>
      <c r="C5" s="224">
        <v>9664289</v>
      </c>
      <c r="D5" s="224">
        <v>249335.64</v>
      </c>
      <c r="E5" s="225">
        <f>+C5-D5</f>
        <v>9414953.36</v>
      </c>
      <c r="F5" s="211">
        <f>+((C5/D5)-1)</f>
        <v>37.760158796391885</v>
      </c>
    </row>
    <row r="6" spans="1:6" ht="13.5" thickBot="1">
      <c r="A6" s="212">
        <v>1110</v>
      </c>
      <c r="B6" s="213" t="s">
        <v>177</v>
      </c>
      <c r="C6" s="224">
        <v>6471150</v>
      </c>
      <c r="D6" s="224">
        <v>4393103.02</v>
      </c>
      <c r="E6" s="225">
        <f>+C6-D6</f>
        <v>2078046.9800000004</v>
      </c>
      <c r="F6" s="211">
        <f>+((C6/D6)-1)</f>
        <v>0.4730248688773069</v>
      </c>
    </row>
    <row r="7" spans="1:6" ht="21" thickBot="1">
      <c r="A7" s="212">
        <v>1120</v>
      </c>
      <c r="B7" s="215" t="s">
        <v>178</v>
      </c>
      <c r="C7" s="224">
        <v>15554309</v>
      </c>
      <c r="D7" s="224">
        <v>14546996</v>
      </c>
      <c r="E7" s="225">
        <f>+C7-D7</f>
        <v>1007313</v>
      </c>
      <c r="F7" s="211">
        <f>+((C7/D7)-1)</f>
        <v>0.06924543046550635</v>
      </c>
    </row>
    <row r="9" ht="13.5" thickBot="1"/>
    <row r="10" spans="1:6" ht="21" thickBot="1">
      <c r="A10" s="218" t="s">
        <v>171</v>
      </c>
      <c r="B10" s="219" t="s">
        <v>172</v>
      </c>
      <c r="C10" s="206" t="s">
        <v>296</v>
      </c>
      <c r="D10" s="206" t="s">
        <v>284</v>
      </c>
      <c r="E10" s="207" t="s">
        <v>173</v>
      </c>
      <c r="F10" s="220" t="s">
        <v>174</v>
      </c>
    </row>
    <row r="11" spans="1:6" ht="13.5" thickBot="1">
      <c r="A11" s="208">
        <v>12</v>
      </c>
      <c r="B11" s="209" t="s">
        <v>179</v>
      </c>
      <c r="C11" s="224">
        <f>+C12</f>
        <v>1564525</v>
      </c>
      <c r="D11" s="224">
        <f>+D12</f>
        <v>1564525</v>
      </c>
      <c r="E11" s="225">
        <f>+C11-D11</f>
        <v>0</v>
      </c>
      <c r="F11" s="211">
        <f>+((C11/D11)-1)</f>
        <v>0</v>
      </c>
    </row>
    <row r="12" spans="1:6" ht="13.5" thickBot="1">
      <c r="A12" s="212">
        <v>1226</v>
      </c>
      <c r="B12" s="215" t="s">
        <v>180</v>
      </c>
      <c r="C12" s="224">
        <v>1564525</v>
      </c>
      <c r="D12" s="224">
        <v>1564525</v>
      </c>
      <c r="E12" s="225">
        <f>+C12-D12</f>
        <v>0</v>
      </c>
      <c r="F12" s="211">
        <f>+((C12/D12)-1)</f>
        <v>0</v>
      </c>
    </row>
    <row r="14" ht="13.5" thickBot="1"/>
    <row r="15" spans="1:13" ht="21" thickBot="1">
      <c r="A15" s="218" t="s">
        <v>171</v>
      </c>
      <c r="B15" s="219" t="s">
        <v>172</v>
      </c>
      <c r="C15" s="206" t="s">
        <v>296</v>
      </c>
      <c r="D15" s="206" t="s">
        <v>284</v>
      </c>
      <c r="E15" s="207" t="s">
        <v>173</v>
      </c>
      <c r="F15" s="220" t="s">
        <v>174</v>
      </c>
      <c r="I15" s="218" t="s">
        <v>303</v>
      </c>
      <c r="J15" s="370" t="s">
        <v>304</v>
      </c>
      <c r="L15" s="218" t="s">
        <v>303</v>
      </c>
      <c r="M15" s="370" t="s">
        <v>304</v>
      </c>
    </row>
    <row r="16" spans="1:14" ht="13.5" thickBot="1">
      <c r="A16" s="208">
        <v>14</v>
      </c>
      <c r="B16" s="209" t="s">
        <v>181</v>
      </c>
      <c r="C16" s="222">
        <f>SUM(C17:C21)</f>
        <v>54920718</v>
      </c>
      <c r="D16" s="222">
        <f>SUM(D17:D21)</f>
        <v>86824121</v>
      </c>
      <c r="E16" s="223">
        <f aca="true" t="shared" si="0" ref="E16:E21">+C16-D16</f>
        <v>-31903403</v>
      </c>
      <c r="F16" s="211">
        <f aca="true" t="shared" si="1" ref="F16:F21">+((C16/D16)-1)</f>
        <v>-0.3674486148843361</v>
      </c>
      <c r="I16" s="249" t="s">
        <v>305</v>
      </c>
      <c r="J16" s="224">
        <v>64806779</v>
      </c>
      <c r="L16" s="249" t="s">
        <v>305</v>
      </c>
      <c r="M16" s="224">
        <v>45276632</v>
      </c>
      <c r="N16" s="216">
        <f aca="true" t="shared" si="2" ref="N16:N21">+J16-M16</f>
        <v>19530147</v>
      </c>
    </row>
    <row r="17" spans="1:14" ht="13.5" thickBot="1">
      <c r="A17" s="212">
        <v>1441</v>
      </c>
      <c r="B17" s="213" t="s">
        <v>182</v>
      </c>
      <c r="C17" s="224">
        <v>56769502</v>
      </c>
      <c r="D17" s="224">
        <v>72028449</v>
      </c>
      <c r="E17" s="225">
        <f t="shared" si="0"/>
        <v>-15258947</v>
      </c>
      <c r="F17" s="211">
        <f t="shared" si="1"/>
        <v>-0.2118461137487495</v>
      </c>
      <c r="I17" s="249" t="s">
        <v>306</v>
      </c>
      <c r="J17" s="224">
        <v>4940470</v>
      </c>
      <c r="L17" s="249" t="s">
        <v>306</v>
      </c>
      <c r="M17" s="224">
        <v>4147095</v>
      </c>
      <c r="N17" s="216">
        <f t="shared" si="2"/>
        <v>793375</v>
      </c>
    </row>
    <row r="18" spans="1:14" ht="13.5" thickBot="1">
      <c r="A18" s="212">
        <v>1442</v>
      </c>
      <c r="B18" s="213" t="s">
        <v>183</v>
      </c>
      <c r="C18" s="224">
        <v>4183265</v>
      </c>
      <c r="D18" s="224">
        <v>21187774</v>
      </c>
      <c r="E18" s="225">
        <f t="shared" si="0"/>
        <v>-17004509</v>
      </c>
      <c r="F18" s="211">
        <f t="shared" si="1"/>
        <v>-0.8025623173061974</v>
      </c>
      <c r="I18" s="249" t="s">
        <v>307</v>
      </c>
      <c r="J18" s="224">
        <v>5313219</v>
      </c>
      <c r="L18" s="249" t="s">
        <v>307</v>
      </c>
      <c r="M18" s="224">
        <v>642592</v>
      </c>
      <c r="N18" s="216">
        <f t="shared" si="2"/>
        <v>4670627</v>
      </c>
    </row>
    <row r="19" spans="1:14" ht="13.5" thickBot="1">
      <c r="A19" s="212">
        <v>1443</v>
      </c>
      <c r="B19" s="213" t="s">
        <v>184</v>
      </c>
      <c r="C19" s="224">
        <v>1343413</v>
      </c>
      <c r="D19" s="224">
        <v>2748522</v>
      </c>
      <c r="E19" s="225">
        <f t="shared" si="0"/>
        <v>-1405109</v>
      </c>
      <c r="F19" s="211">
        <f t="shared" si="1"/>
        <v>-0.5112234866593754</v>
      </c>
      <c r="I19" s="249" t="s">
        <v>308</v>
      </c>
      <c r="J19" s="224">
        <v>10762738</v>
      </c>
      <c r="L19" s="249" t="s">
        <v>308</v>
      </c>
      <c r="M19" s="224">
        <v>0</v>
      </c>
      <c r="N19" s="216">
        <f t="shared" si="2"/>
        <v>10762738</v>
      </c>
    </row>
    <row r="20" spans="1:14" ht="13.5" thickBot="1">
      <c r="A20" s="212">
        <v>1445</v>
      </c>
      <c r="B20" s="213" t="s">
        <v>185</v>
      </c>
      <c r="C20" s="224">
        <v>-6900700</v>
      </c>
      <c r="D20" s="224">
        <v>-7714546</v>
      </c>
      <c r="E20" s="225">
        <f t="shared" si="0"/>
        <v>813846</v>
      </c>
      <c r="F20" s="211">
        <f t="shared" si="1"/>
        <v>-0.10549499607624346</v>
      </c>
      <c r="I20" s="249" t="s">
        <v>309</v>
      </c>
      <c r="J20" s="224">
        <v>7393017</v>
      </c>
      <c r="L20" s="249" t="s">
        <v>309</v>
      </c>
      <c r="M20" s="224">
        <v>10886448</v>
      </c>
      <c r="N20" s="216">
        <f t="shared" si="2"/>
        <v>-3493431</v>
      </c>
    </row>
    <row r="21" spans="1:14" ht="13.5" thickBot="1">
      <c r="A21" s="212">
        <v>1468</v>
      </c>
      <c r="B21" s="213" t="s">
        <v>186</v>
      </c>
      <c r="C21" s="224">
        <v>-474762</v>
      </c>
      <c r="D21" s="224">
        <v>-1426078</v>
      </c>
      <c r="E21" s="225">
        <f t="shared" si="0"/>
        <v>951316</v>
      </c>
      <c r="F21" s="211">
        <f t="shared" si="1"/>
        <v>-0.6670855310859574</v>
      </c>
      <c r="I21" s="208" t="s">
        <v>310</v>
      </c>
      <c r="J21" s="222">
        <v>93216223</v>
      </c>
      <c r="L21" s="208" t="s">
        <v>310</v>
      </c>
      <c r="M21" s="222">
        <f>SUM(M16:M20)</f>
        <v>60952767</v>
      </c>
      <c r="N21" s="216">
        <f t="shared" si="2"/>
        <v>32263456</v>
      </c>
    </row>
    <row r="22" spans="9:10" ht="12.75">
      <c r="I22" s="371"/>
      <c r="J22"/>
    </row>
    <row r="23" spans="10:13" ht="13.5" thickBot="1">
      <c r="J23" s="216">
        <f>SUM(J17:J20)</f>
        <v>28409444</v>
      </c>
      <c r="M23" s="216">
        <f>SUM(M17:M20)</f>
        <v>15676135</v>
      </c>
    </row>
    <row r="24" spans="1:13" ht="21" thickBot="1">
      <c r="A24" s="218" t="s">
        <v>171</v>
      </c>
      <c r="B24" s="219" t="s">
        <v>172</v>
      </c>
      <c r="C24" s="206" t="s">
        <v>296</v>
      </c>
      <c r="D24" s="206" t="s">
        <v>284</v>
      </c>
      <c r="E24" s="207" t="s">
        <v>173</v>
      </c>
      <c r="F24" s="220" t="s">
        <v>174</v>
      </c>
      <c r="J24" s="372">
        <f>+J23*100/J21</f>
        <v>30.476931038066194</v>
      </c>
      <c r="M24" s="372">
        <f>+M23*100/M21</f>
        <v>25.71849609386888</v>
      </c>
    </row>
    <row r="25" spans="1:6" ht="13.5" thickBot="1">
      <c r="A25" s="208">
        <v>16</v>
      </c>
      <c r="B25" s="209" t="s">
        <v>187</v>
      </c>
      <c r="C25" s="222">
        <f>SUM(C26:C28)</f>
        <v>165363371</v>
      </c>
      <c r="D25" s="222">
        <f>SUM(D26:D28)</f>
        <v>181197653.13</v>
      </c>
      <c r="E25" s="223">
        <f>+C25-D25</f>
        <v>-15834282.129999995</v>
      </c>
      <c r="F25" s="211">
        <f>+((C25/D25)-1)</f>
        <v>-0.08738679478723554</v>
      </c>
    </row>
    <row r="26" spans="1:6" ht="13.5" thickBot="1">
      <c r="A26" s="212">
        <v>1615</v>
      </c>
      <c r="B26" s="215" t="s">
        <v>188</v>
      </c>
      <c r="C26" s="224">
        <v>369280</v>
      </c>
      <c r="D26" s="224">
        <v>783000</v>
      </c>
      <c r="E26" s="225">
        <f>+C26-D26</f>
        <v>-413720</v>
      </c>
      <c r="F26" s="211">
        <f>+((C26/D26)-1)</f>
        <v>-0.5283780332056194</v>
      </c>
    </row>
    <row r="27" spans="1:6" ht="13.5" thickBot="1">
      <c r="A27" s="212">
        <v>1660</v>
      </c>
      <c r="B27" s="213" t="s">
        <v>189</v>
      </c>
      <c r="C27" s="224">
        <v>164194772</v>
      </c>
      <c r="D27" s="224">
        <f>180962069.13-783000</f>
        <v>180179069.13</v>
      </c>
      <c r="E27" s="225">
        <f>+C27-D27</f>
        <v>-15984297.129999995</v>
      </c>
      <c r="F27" s="211">
        <f>+((C27/D27)-1)</f>
        <v>-0.08871339610744278</v>
      </c>
    </row>
    <row r="28" spans="1:6" ht="13.5" thickBot="1">
      <c r="A28" s="212">
        <v>1675</v>
      </c>
      <c r="B28" s="213" t="s">
        <v>300</v>
      </c>
      <c r="C28" s="224">
        <v>799319</v>
      </c>
      <c r="D28" s="224">
        <v>235584</v>
      </c>
      <c r="E28" s="225">
        <f>+C28-D28</f>
        <v>563735</v>
      </c>
      <c r="F28" s="211">
        <f>+((C28/D28)-1)</f>
        <v>2.3929256655800053</v>
      </c>
    </row>
    <row r="30" ht="13.5" thickBot="1"/>
    <row r="31" spans="1:6" ht="21" thickBot="1">
      <c r="A31" s="218" t="s">
        <v>171</v>
      </c>
      <c r="B31" s="219" t="s">
        <v>172</v>
      </c>
      <c r="C31" s="206" t="s">
        <v>296</v>
      </c>
      <c r="D31" s="206" t="s">
        <v>284</v>
      </c>
      <c r="E31" s="207" t="s">
        <v>173</v>
      </c>
      <c r="F31" s="220" t="s">
        <v>174</v>
      </c>
    </row>
    <row r="32" spans="1:6" ht="13.5" thickBot="1">
      <c r="A32" s="208">
        <v>17</v>
      </c>
      <c r="B32" s="209" t="s">
        <v>190</v>
      </c>
      <c r="C32" s="222">
        <f>SUM(C33:C36)</f>
        <v>6024969</v>
      </c>
      <c r="D32" s="222">
        <f>SUM(D33:D36)</f>
        <v>3824429</v>
      </c>
      <c r="E32" s="223">
        <f>+C32-D32</f>
        <v>2200540</v>
      </c>
      <c r="F32" s="211">
        <f>+((C32/D32)-1)</f>
        <v>0.5753904700544838</v>
      </c>
    </row>
    <row r="33" spans="1:6" ht="13.5" thickBot="1">
      <c r="A33" s="212">
        <v>1705</v>
      </c>
      <c r="B33" s="213" t="s">
        <v>191</v>
      </c>
      <c r="C33" s="224">
        <v>6252880</v>
      </c>
      <c r="D33" s="224">
        <v>6252880</v>
      </c>
      <c r="E33" s="225">
        <f>+C33-D33</f>
        <v>0</v>
      </c>
      <c r="F33" s="211">
        <f>+((C33/D33)-1)</f>
        <v>0</v>
      </c>
    </row>
    <row r="34" spans="1:6" ht="13.5" thickBot="1">
      <c r="A34" s="212">
        <v>1705</v>
      </c>
      <c r="B34" s="213" t="s">
        <v>192</v>
      </c>
      <c r="C34" s="224">
        <v>6314000</v>
      </c>
      <c r="D34" s="224">
        <v>3115000</v>
      </c>
      <c r="E34" s="224">
        <f>+C34-D34</f>
        <v>3199000</v>
      </c>
      <c r="F34" s="211">
        <f>+((C34/D34)-1)</f>
        <v>1.0269662921348313</v>
      </c>
    </row>
    <row r="35" spans="1:6" ht="13.5" thickBot="1">
      <c r="A35" s="212">
        <v>1795</v>
      </c>
      <c r="B35" s="213" t="s">
        <v>193</v>
      </c>
      <c r="C35" s="224">
        <v>-3053699</v>
      </c>
      <c r="D35" s="224">
        <v>-2428451</v>
      </c>
      <c r="E35" s="224">
        <f>+C35-D35</f>
        <v>-625248</v>
      </c>
      <c r="F35" s="211">
        <f>+((C35/D35)-1)</f>
        <v>0.2574678261986756</v>
      </c>
    </row>
    <row r="36" spans="1:6" ht="13.5" thickBot="1">
      <c r="A36" s="212">
        <v>1795</v>
      </c>
      <c r="B36" s="213" t="s">
        <v>194</v>
      </c>
      <c r="C36" s="224">
        <v>-3488212</v>
      </c>
      <c r="D36" s="224">
        <v>-3115000</v>
      </c>
      <c r="E36" s="224">
        <f>+C36-D36</f>
        <v>-373212</v>
      </c>
      <c r="F36" s="211">
        <f>+((C36/D36)-1)</f>
        <v>0.11981123595505627</v>
      </c>
    </row>
    <row r="38" ht="13.5" thickBot="1"/>
    <row r="39" spans="1:6" ht="13.5" thickBot="1">
      <c r="A39" s="218" t="s">
        <v>195</v>
      </c>
      <c r="B39" s="219" t="s">
        <v>172</v>
      </c>
      <c r="C39" s="206" t="s">
        <v>296</v>
      </c>
      <c r="D39" s="206" t="s">
        <v>284</v>
      </c>
      <c r="E39" s="221" t="s">
        <v>173</v>
      </c>
      <c r="F39" s="220" t="s">
        <v>174</v>
      </c>
    </row>
    <row r="40" spans="1:9" ht="13.5" thickBot="1">
      <c r="A40" s="208">
        <v>21</v>
      </c>
      <c r="B40" s="209" t="s">
        <v>196</v>
      </c>
      <c r="C40" s="210">
        <f>SUM(C41:C42)</f>
        <v>151388662</v>
      </c>
      <c r="D40" s="210">
        <f>SUM(D41:D42)</f>
        <v>145467926</v>
      </c>
      <c r="E40" s="223">
        <f>+C40-D40</f>
        <v>5920736</v>
      </c>
      <c r="F40" s="211">
        <f>+((C40/D40)-1)</f>
        <v>0.04070131583507974</v>
      </c>
      <c r="I40" s="295"/>
    </row>
    <row r="41" spans="1:9" ht="13.5" thickBot="1">
      <c r="A41" s="212">
        <v>2105</v>
      </c>
      <c r="B41" s="213" t="s">
        <v>197</v>
      </c>
      <c r="C41" s="214">
        <v>127543591</v>
      </c>
      <c r="D41" s="214">
        <v>118509796</v>
      </c>
      <c r="E41" s="225">
        <f>+C41-D41</f>
        <v>9033795</v>
      </c>
      <c r="F41" s="211">
        <f>+((C41/D41)-1)</f>
        <v>0.07622825542624345</v>
      </c>
      <c r="H41" s="369"/>
      <c r="I41" s="295"/>
    </row>
    <row r="42" spans="1:9" ht="13.5" thickBot="1">
      <c r="A42" s="212">
        <v>2125</v>
      </c>
      <c r="B42" s="213" t="s">
        <v>198</v>
      </c>
      <c r="C42" s="214">
        <v>23845071</v>
      </c>
      <c r="D42" s="214">
        <v>26958130</v>
      </c>
      <c r="E42" s="225">
        <f>+C42-D42</f>
        <v>-3113059</v>
      </c>
      <c r="F42" s="211">
        <f>+((C42/D42)-1)</f>
        <v>-0.11547755723412567</v>
      </c>
      <c r="H42" s="369"/>
      <c r="I42" s="295"/>
    </row>
    <row r="44" ht="13.5" thickBot="1"/>
    <row r="45" spans="1:6" ht="21" thickBot="1">
      <c r="A45" s="234" t="s">
        <v>171</v>
      </c>
      <c r="B45" s="235" t="s">
        <v>172</v>
      </c>
      <c r="C45" s="206" t="s">
        <v>296</v>
      </c>
      <c r="D45" s="206" t="s">
        <v>284</v>
      </c>
      <c r="E45" s="236" t="s">
        <v>173</v>
      </c>
      <c r="F45" s="237" t="s">
        <v>174</v>
      </c>
    </row>
    <row r="46" spans="1:6" ht="12.75">
      <c r="A46" s="238"/>
      <c r="B46" s="227"/>
      <c r="C46" s="228"/>
      <c r="D46" s="228"/>
      <c r="E46" s="229"/>
      <c r="F46" s="239"/>
    </row>
    <row r="47" spans="1:6" ht="12.75">
      <c r="A47" s="240">
        <v>11</v>
      </c>
      <c r="B47" s="230" t="s">
        <v>175</v>
      </c>
      <c r="C47" s="231">
        <f>+C4</f>
        <v>31689748</v>
      </c>
      <c r="D47" s="231">
        <v>19189434.66</v>
      </c>
      <c r="E47" s="232">
        <f>+C47-D47</f>
        <v>12500313.34</v>
      </c>
      <c r="F47" s="241">
        <f>+((C47/D47)-1)</f>
        <v>0.6514164466792061</v>
      </c>
    </row>
    <row r="48" spans="1:6" ht="12.75">
      <c r="A48" s="240">
        <v>12</v>
      </c>
      <c r="B48" s="230" t="s">
        <v>179</v>
      </c>
      <c r="C48" s="231">
        <f>+C11</f>
        <v>1564525</v>
      </c>
      <c r="D48" s="231">
        <v>1564525</v>
      </c>
      <c r="E48" s="232">
        <f>+C48-D48</f>
        <v>0</v>
      </c>
      <c r="F48" s="241">
        <f>+((C48/D48)-1)</f>
        <v>0</v>
      </c>
    </row>
    <row r="49" spans="1:6" ht="12.75">
      <c r="A49" s="240">
        <v>14</v>
      </c>
      <c r="B49" s="230" t="s">
        <v>181</v>
      </c>
      <c r="C49" s="231">
        <f>+C16</f>
        <v>54920718</v>
      </c>
      <c r="D49" s="231">
        <f>+D16</f>
        <v>86824121</v>
      </c>
      <c r="E49" s="232">
        <f>+C49-D49</f>
        <v>-31903403</v>
      </c>
      <c r="F49" s="241">
        <f>+((C49/D49)-1)</f>
        <v>-0.3674486148843361</v>
      </c>
    </row>
    <row r="50" spans="1:6" ht="12.75">
      <c r="A50" s="240">
        <v>16</v>
      </c>
      <c r="B50" s="230" t="s">
        <v>187</v>
      </c>
      <c r="C50" s="231">
        <f>+C25</f>
        <v>165363371</v>
      </c>
      <c r="D50" s="231">
        <f>+D25</f>
        <v>181197653.13</v>
      </c>
      <c r="E50" s="232">
        <f>+C50-D50</f>
        <v>-15834282.129999995</v>
      </c>
      <c r="F50" s="241">
        <f>+((C50/D50)-1)</f>
        <v>-0.08738679478723554</v>
      </c>
    </row>
    <row r="51" spans="1:6" ht="12.75">
      <c r="A51" s="238"/>
      <c r="B51" s="227"/>
      <c r="C51" s="228"/>
      <c r="D51" s="228"/>
      <c r="E51" s="227"/>
      <c r="F51" s="239"/>
    </row>
    <row r="52" spans="1:6" ht="12.75">
      <c r="A52" s="240">
        <v>21</v>
      </c>
      <c r="B52" s="230" t="s">
        <v>196</v>
      </c>
      <c r="C52" s="231">
        <f>+C40</f>
        <v>151388662</v>
      </c>
      <c r="D52" s="231">
        <v>145467926</v>
      </c>
      <c r="E52" s="232">
        <f>+C52-D52</f>
        <v>5920736</v>
      </c>
      <c r="F52" s="241">
        <f>+((C52/D52)-1)</f>
        <v>0.04070131583507974</v>
      </c>
    </row>
    <row r="53" spans="1:6" ht="12.75">
      <c r="A53" s="240">
        <v>24</v>
      </c>
      <c r="B53" s="230" t="s">
        <v>199</v>
      </c>
      <c r="C53" s="231">
        <f>+C63</f>
        <v>30569192</v>
      </c>
      <c r="D53" s="231">
        <v>15869768.32</v>
      </c>
      <c r="E53" s="232">
        <f>+C53-D53</f>
        <v>14699423.68</v>
      </c>
      <c r="F53" s="241">
        <f>+((C53/D53)-1)</f>
        <v>0.9262531993913821</v>
      </c>
    </row>
    <row r="54" spans="1:6" ht="12.75">
      <c r="A54" s="240"/>
      <c r="B54" s="230" t="s">
        <v>200</v>
      </c>
      <c r="C54" s="231">
        <f>+C47+C48+C49+C50</f>
        <v>253538362</v>
      </c>
      <c r="D54" s="231">
        <f>+D47+D48+D49+D50</f>
        <v>288775733.78999996</v>
      </c>
      <c r="E54" s="232">
        <f>+C54-D54</f>
        <v>-35237371.78999996</v>
      </c>
      <c r="F54" s="241">
        <f>+((C54/D54)-1)</f>
        <v>-0.1220233131348386</v>
      </c>
    </row>
    <row r="55" spans="1:6" ht="12.75">
      <c r="A55" s="240"/>
      <c r="B55" s="230" t="s">
        <v>201</v>
      </c>
      <c r="C55" s="231">
        <f>+C52+C53</f>
        <v>181957854</v>
      </c>
      <c r="D55" s="231">
        <f>+D52+D53</f>
        <v>161337694.32</v>
      </c>
      <c r="E55" s="232">
        <f>+C55-D55</f>
        <v>20620159.680000007</v>
      </c>
      <c r="F55" s="241">
        <f>+((C55/D55)-1)</f>
        <v>0.12780745235581237</v>
      </c>
    </row>
    <row r="56" spans="1:6" ht="12.75">
      <c r="A56" s="240"/>
      <c r="B56" s="230" t="s">
        <v>202</v>
      </c>
      <c r="C56" s="231">
        <f>+C54-C55</f>
        <v>71580508</v>
      </c>
      <c r="D56" s="231">
        <f>+D54-D55</f>
        <v>127438039.46999997</v>
      </c>
      <c r="E56" s="232">
        <f>+C56-D56</f>
        <v>-55857531.46999997</v>
      </c>
      <c r="F56" s="241">
        <f>+((C56/D56)-1)</f>
        <v>-0.4383112899594577</v>
      </c>
    </row>
    <row r="57" spans="1:6" ht="12.75">
      <c r="A57" s="240"/>
      <c r="B57" s="230" t="s">
        <v>203</v>
      </c>
      <c r="C57" s="230"/>
      <c r="D57" s="230"/>
      <c r="E57" s="233"/>
      <c r="F57" s="242"/>
    </row>
    <row r="58" spans="1:6" ht="12.75">
      <c r="A58" s="240">
        <v>17</v>
      </c>
      <c r="B58" s="230" t="s">
        <v>190</v>
      </c>
      <c r="C58" s="231">
        <f>+C32</f>
        <v>6024969</v>
      </c>
      <c r="D58" s="231">
        <f>+D32</f>
        <v>3824429</v>
      </c>
      <c r="E58" s="232">
        <f>+C58-D58</f>
        <v>2200540</v>
      </c>
      <c r="F58" s="241">
        <f>+((C58/D58)-1)</f>
        <v>0.5753904700544838</v>
      </c>
    </row>
    <row r="59" spans="1:6" ht="13.5" thickBot="1">
      <c r="A59" s="243">
        <v>26</v>
      </c>
      <c r="B59" s="244" t="s">
        <v>204</v>
      </c>
      <c r="C59" s="245">
        <f>+C71</f>
        <v>11416369</v>
      </c>
      <c r="D59" s="245">
        <f>+D71</f>
        <v>10233188.31</v>
      </c>
      <c r="E59" s="246">
        <f>+C59-D59</f>
        <v>1183180.6899999995</v>
      </c>
      <c r="F59" s="247">
        <f>+((C59/D59)-1)</f>
        <v>0.11562190142086815</v>
      </c>
    </row>
    <row r="61" ht="13.5" thickBot="1"/>
    <row r="62" spans="1:6" ht="21" thickBot="1">
      <c r="A62" s="218" t="s">
        <v>195</v>
      </c>
      <c r="B62" s="219" t="s">
        <v>172</v>
      </c>
      <c r="C62" s="206" t="s">
        <v>296</v>
      </c>
      <c r="D62" s="206" t="s">
        <v>284</v>
      </c>
      <c r="E62" s="236" t="s">
        <v>173</v>
      </c>
      <c r="F62" s="220" t="s">
        <v>174</v>
      </c>
    </row>
    <row r="63" spans="1:6" ht="13.5" thickBot="1">
      <c r="A63" s="208">
        <v>24</v>
      </c>
      <c r="B63" s="209" t="s">
        <v>199</v>
      </c>
      <c r="C63" s="222">
        <f>SUM(C64:C67)</f>
        <v>30569192</v>
      </c>
      <c r="D63" s="222">
        <f>SUM(D64:D67)</f>
        <v>16481018.120000001</v>
      </c>
      <c r="E63" s="223">
        <f>+C63-D63</f>
        <v>14088173.879999999</v>
      </c>
      <c r="F63" s="211">
        <f>+((C63/D63)-1)</f>
        <v>0.8548121103576578</v>
      </c>
    </row>
    <row r="64" spans="1:6" ht="13.5" thickBot="1">
      <c r="A64" s="212">
        <v>2410</v>
      </c>
      <c r="B64" s="213" t="s">
        <v>205</v>
      </c>
      <c r="C64" s="224">
        <v>26292137</v>
      </c>
      <c r="D64" s="224">
        <f>13338489+390400</f>
        <v>13728889</v>
      </c>
      <c r="E64" s="224">
        <f>+C64-D64</f>
        <v>12563248</v>
      </c>
      <c r="F64" s="211">
        <f>+((C64/D64)-1)</f>
        <v>0.9150957517392704</v>
      </c>
    </row>
    <row r="65" spans="1:6" ht="13.5" thickBot="1">
      <c r="A65" s="212">
        <v>2435</v>
      </c>
      <c r="B65" s="215" t="s">
        <v>206</v>
      </c>
      <c r="C65" s="224">
        <v>11559</v>
      </c>
      <c r="D65" s="224">
        <v>5250</v>
      </c>
      <c r="E65" s="224">
        <f>+C65-D65</f>
        <v>6309</v>
      </c>
      <c r="F65" s="211">
        <f>+((C65/D65)-1)</f>
        <v>1.2017142857142855</v>
      </c>
    </row>
    <row r="66" spans="1:6" ht="13.5" thickBot="1">
      <c r="A66" s="212">
        <v>2440</v>
      </c>
      <c r="B66" s="213" t="s">
        <v>207</v>
      </c>
      <c r="C66" s="224">
        <v>4265496</v>
      </c>
      <c r="D66" s="224">
        <v>1910379.12</v>
      </c>
      <c r="E66" s="224">
        <f>+C66-D66</f>
        <v>2355116.88</v>
      </c>
      <c r="F66" s="211">
        <f>+((C66/D66)-1)</f>
        <v>1.2328007856367273</v>
      </c>
    </row>
    <row r="67" spans="1:6" ht="13.5" thickBot="1">
      <c r="A67" s="212">
        <v>2450</v>
      </c>
      <c r="B67" s="213" t="s">
        <v>208</v>
      </c>
      <c r="C67" s="224">
        <v>0</v>
      </c>
      <c r="D67" s="224">
        <v>836500</v>
      </c>
      <c r="E67" s="224">
        <f>+C67-D67</f>
        <v>-836500</v>
      </c>
      <c r="F67" s="211">
        <f>+((C67/D67)-1)</f>
        <v>-1</v>
      </c>
    </row>
    <row r="69" ht="13.5" thickBot="1"/>
    <row r="70" spans="1:6" ht="21" thickBot="1">
      <c r="A70" s="218" t="s">
        <v>209</v>
      </c>
      <c r="B70" s="219" t="s">
        <v>79</v>
      </c>
      <c r="C70" s="206" t="s">
        <v>296</v>
      </c>
      <c r="D70" s="206" t="s">
        <v>284</v>
      </c>
      <c r="E70" s="236" t="s">
        <v>173</v>
      </c>
      <c r="F70" s="220" t="s">
        <v>7</v>
      </c>
    </row>
    <row r="71" spans="1:6" ht="13.5" thickBot="1">
      <c r="A71" s="208">
        <v>26</v>
      </c>
      <c r="B71" s="209" t="s">
        <v>204</v>
      </c>
      <c r="C71" s="222">
        <f>SUM(C72:C76)</f>
        <v>11416369</v>
      </c>
      <c r="D71" s="222">
        <f>SUM(D72:D76)</f>
        <v>10233188.31</v>
      </c>
      <c r="E71" s="222">
        <f>SUM(E72:E76)</f>
        <v>1183180.69</v>
      </c>
      <c r="F71" s="211">
        <f>+((C71/D71)-1)</f>
        <v>0.11562190142086815</v>
      </c>
    </row>
    <row r="72" spans="1:6" ht="13.5" thickBot="1">
      <c r="A72" s="208">
        <v>2605</v>
      </c>
      <c r="B72" s="209" t="s">
        <v>210</v>
      </c>
      <c r="C72" s="224">
        <v>179197</v>
      </c>
      <c r="D72" s="224">
        <f>112452.07+5317</f>
        <v>117769.07</v>
      </c>
      <c r="E72" s="224">
        <f>+C72-D72</f>
        <v>61427.92999999999</v>
      </c>
      <c r="F72" s="211">
        <f>+((C72/D72)-1)</f>
        <v>0.5215964599193998</v>
      </c>
    </row>
    <row r="73" spans="1:6" ht="13.5" thickBot="1">
      <c r="A73" s="208">
        <v>2610</v>
      </c>
      <c r="B73" s="209" t="s">
        <v>211</v>
      </c>
      <c r="C73" s="224">
        <v>1003</v>
      </c>
      <c r="D73" s="224">
        <v>115419.24</v>
      </c>
      <c r="E73" s="224">
        <f>+C73-D73</f>
        <v>-114416.24</v>
      </c>
      <c r="F73" s="211">
        <f>+((C73/D73)-1)</f>
        <v>-0.9913099410462242</v>
      </c>
    </row>
    <row r="74" spans="1:6" ht="13.5" thickBot="1">
      <c r="A74" s="208">
        <v>2620</v>
      </c>
      <c r="B74" s="209" t="s">
        <v>301</v>
      </c>
      <c r="C74" s="224">
        <v>231695</v>
      </c>
      <c r="D74" s="224">
        <v>0</v>
      </c>
      <c r="E74" s="224">
        <f>+C74-D74</f>
        <v>231695</v>
      </c>
      <c r="F74" s="211">
        <v>1</v>
      </c>
    </row>
    <row r="75" spans="1:6" ht="13.5" thickBot="1">
      <c r="A75" s="208">
        <v>2625</v>
      </c>
      <c r="B75" s="209" t="s">
        <v>302</v>
      </c>
      <c r="C75" s="224">
        <v>1004474</v>
      </c>
      <c r="D75" s="224">
        <v>0</v>
      </c>
      <c r="E75" s="224">
        <f>+C75-D75</f>
        <v>1004474</v>
      </c>
      <c r="F75" s="211">
        <v>1</v>
      </c>
    </row>
    <row r="76" spans="1:6" ht="13.5" thickBot="1">
      <c r="A76" s="208">
        <v>2655</v>
      </c>
      <c r="B76" s="209" t="s">
        <v>212</v>
      </c>
      <c r="C76" s="224">
        <v>10000000</v>
      </c>
      <c r="D76" s="224">
        <v>10000000</v>
      </c>
      <c r="E76" s="224">
        <f>+C76-D76</f>
        <v>0</v>
      </c>
      <c r="F76" s="211">
        <f>+((C76/D76)-1)</f>
        <v>0</v>
      </c>
    </row>
    <row r="78" ht="13.5" thickBot="1"/>
    <row r="79" spans="2:6" ht="21" thickBot="1">
      <c r="B79" s="248" t="s">
        <v>79</v>
      </c>
      <c r="C79" s="206" t="s">
        <v>296</v>
      </c>
      <c r="D79" s="206" t="s">
        <v>284</v>
      </c>
      <c r="E79" s="236" t="s">
        <v>173</v>
      </c>
      <c r="F79" s="220" t="s">
        <v>7</v>
      </c>
    </row>
    <row r="80" spans="2:6" ht="13.5" thickBot="1">
      <c r="B80" s="249" t="s">
        <v>213</v>
      </c>
      <c r="C80" s="210">
        <f>+C81</f>
        <v>5510104</v>
      </c>
      <c r="D80" s="210">
        <f>+D81</f>
        <v>4520389</v>
      </c>
      <c r="E80" s="223">
        <f>+C80-D80</f>
        <v>989715</v>
      </c>
      <c r="F80" s="211">
        <f>+((C80/D80)-1)</f>
        <v>0.2189446527721397</v>
      </c>
    </row>
    <row r="81" spans="2:6" ht="13.5" thickBot="1">
      <c r="B81" s="249" t="s">
        <v>167</v>
      </c>
      <c r="C81" s="214">
        <v>5510104</v>
      </c>
      <c r="D81" s="214">
        <v>4520389</v>
      </c>
      <c r="E81" s="224">
        <f>+C81-D81</f>
        <v>989715</v>
      </c>
      <c r="F81" s="211">
        <f>+((C81/D81)-1)</f>
        <v>0.2189446527721397</v>
      </c>
    </row>
    <row r="82" spans="2:6" ht="12.75">
      <c r="B82" s="374"/>
      <c r="C82" s="375"/>
      <c r="D82" s="375"/>
      <c r="E82" s="376"/>
      <c r="F82" s="377"/>
    </row>
    <row r="83" spans="2:6" ht="13.5" thickBot="1">
      <c r="B83" s="374"/>
      <c r="C83" s="375"/>
      <c r="D83" s="375"/>
      <c r="E83" s="376"/>
      <c r="F83" s="377"/>
    </row>
    <row r="84" spans="1:6" ht="21" thickBot="1">
      <c r="A84" s="218" t="s">
        <v>171</v>
      </c>
      <c r="B84" s="219" t="s">
        <v>172</v>
      </c>
      <c r="C84" s="206" t="s">
        <v>296</v>
      </c>
      <c r="D84" s="206" t="s">
        <v>284</v>
      </c>
      <c r="E84" s="236" t="s">
        <v>173</v>
      </c>
      <c r="F84" s="220" t="s">
        <v>174</v>
      </c>
    </row>
    <row r="85" spans="1:6" ht="13.5" thickBot="1">
      <c r="A85" s="208">
        <v>31</v>
      </c>
      <c r="B85" s="209" t="s">
        <v>311</v>
      </c>
      <c r="C85" s="222">
        <f>+C86</f>
        <v>23272000</v>
      </c>
      <c r="D85" s="222">
        <f>+D86</f>
        <v>21717000</v>
      </c>
      <c r="E85" s="223">
        <f>+C85-D85</f>
        <v>1555000</v>
      </c>
      <c r="F85" s="211">
        <f>+((C85/D85)-1)</f>
        <v>0.0716028917437952</v>
      </c>
    </row>
    <row r="86" spans="1:6" ht="13.5" thickBot="1">
      <c r="A86" s="212">
        <v>3115</v>
      </c>
      <c r="B86" s="213" t="s">
        <v>312</v>
      </c>
      <c r="C86" s="224">
        <f>+'ESF 2023'!E65</f>
        <v>23272000</v>
      </c>
      <c r="D86" s="224">
        <v>21717000</v>
      </c>
      <c r="E86" s="224">
        <f>+C86-D86</f>
        <v>1555000</v>
      </c>
      <c r="F86" s="211">
        <f>+((C86/D86)-1)</f>
        <v>0.0716028917437952</v>
      </c>
    </row>
    <row r="87" spans="2:6" ht="12.75">
      <c r="B87" s="374"/>
      <c r="C87" s="375"/>
      <c r="D87" s="375"/>
      <c r="E87" s="376"/>
      <c r="F87" s="377"/>
    </row>
    <row r="88" spans="2:6" ht="13.5" thickBot="1">
      <c r="B88" s="374"/>
      <c r="C88" s="375"/>
      <c r="D88" s="375"/>
      <c r="E88" s="376"/>
      <c r="F88" s="377"/>
    </row>
    <row r="89" spans="1:6" ht="21" thickBot="1">
      <c r="A89" s="218" t="s">
        <v>171</v>
      </c>
      <c r="B89" s="219" t="s">
        <v>172</v>
      </c>
      <c r="C89" s="206" t="s">
        <v>296</v>
      </c>
      <c r="D89" s="206" t="s">
        <v>284</v>
      </c>
      <c r="E89" s="236" t="s">
        <v>173</v>
      </c>
      <c r="F89" s="220" t="s">
        <v>174</v>
      </c>
    </row>
    <row r="90" spans="1:6" ht="13.5" thickBot="1">
      <c r="A90" s="208">
        <v>32</v>
      </c>
      <c r="B90" s="209" t="s">
        <v>313</v>
      </c>
      <c r="C90" s="222">
        <f>+C91</f>
        <v>14110000</v>
      </c>
      <c r="D90" s="222">
        <f>+D91</f>
        <v>12525000</v>
      </c>
      <c r="E90" s="223">
        <f>+C90-D90</f>
        <v>1585000</v>
      </c>
      <c r="F90" s="211">
        <f>+((C90/D90)-1)</f>
        <v>0.12654690618762476</v>
      </c>
    </row>
    <row r="91" spans="1:6" ht="13.5" thickBot="1">
      <c r="A91" s="212">
        <v>3230</v>
      </c>
      <c r="B91" s="213" t="s">
        <v>314</v>
      </c>
      <c r="C91" s="224">
        <f>+'ESF 2023'!E67</f>
        <v>14110000</v>
      </c>
      <c r="D91" s="224">
        <v>12525000</v>
      </c>
      <c r="E91" s="224">
        <f>+C91-D91</f>
        <v>1585000</v>
      </c>
      <c r="F91" s="211">
        <f>+((C91/D91)-1)</f>
        <v>0.12654690618762476</v>
      </c>
    </row>
    <row r="92" spans="1:6" ht="12.75">
      <c r="A92" s="375"/>
      <c r="B92" s="375"/>
      <c r="C92" s="375"/>
      <c r="D92" s="375"/>
      <c r="E92" s="376"/>
      <c r="F92" s="377"/>
    </row>
    <row r="93" ht="13.5" thickBot="1"/>
    <row r="94" spans="1:6" ht="21" thickBot="1">
      <c r="A94" s="234" t="s">
        <v>171</v>
      </c>
      <c r="B94" s="257" t="s">
        <v>172</v>
      </c>
      <c r="C94" s="206" t="s">
        <v>296</v>
      </c>
      <c r="D94" s="206" t="s">
        <v>284</v>
      </c>
      <c r="E94" s="236" t="s">
        <v>173</v>
      </c>
      <c r="F94" s="237" t="s">
        <v>174</v>
      </c>
    </row>
    <row r="95" spans="1:6" ht="12.75">
      <c r="A95" s="258">
        <v>4</v>
      </c>
      <c r="B95" s="250" t="s">
        <v>214</v>
      </c>
      <c r="C95" s="251">
        <f>+C96+C105</f>
        <v>118024955</v>
      </c>
      <c r="D95" s="251">
        <f>+D96+D105</f>
        <v>117669947.78</v>
      </c>
      <c r="E95" s="251">
        <f>+C95-D95</f>
        <v>355007.2199999988</v>
      </c>
      <c r="F95" s="241">
        <f>+((C95/D95)-1)</f>
        <v>0.0030169743991366182</v>
      </c>
    </row>
    <row r="96" spans="1:6" ht="20.25">
      <c r="A96" s="258">
        <v>41</v>
      </c>
      <c r="B96" s="252" t="s">
        <v>215</v>
      </c>
      <c r="C96" s="251">
        <f>+C97+C98</f>
        <v>117350634</v>
      </c>
      <c r="D96" s="251">
        <f>+D97+D98</f>
        <v>103210346</v>
      </c>
      <c r="E96" s="251">
        <f>+C96-D96</f>
        <v>14140288</v>
      </c>
      <c r="F96" s="241">
        <f>+((C96/D96)-1)</f>
        <v>0.13700455960103075</v>
      </c>
    </row>
    <row r="97" spans="1:6" ht="12.75">
      <c r="A97" s="259">
        <v>4150</v>
      </c>
      <c r="B97" s="253" t="s">
        <v>216</v>
      </c>
      <c r="C97" s="254">
        <v>20358202</v>
      </c>
      <c r="D97" s="254">
        <v>32871987</v>
      </c>
      <c r="E97" s="263">
        <f aca="true" t="shared" si="3" ref="E97:E104">+C97-D97</f>
        <v>-12513785</v>
      </c>
      <c r="F97" s="241">
        <f aca="true" t="shared" si="4" ref="F97:F108">+((C97/D97)-1)</f>
        <v>-0.38068234208050766</v>
      </c>
    </row>
    <row r="98" spans="1:6" ht="12.75">
      <c r="A98" s="259">
        <v>4170</v>
      </c>
      <c r="B98" s="255" t="s">
        <v>218</v>
      </c>
      <c r="C98" s="254">
        <f>+C99+C100+C101+C102+C103+C104</f>
        <v>96992432</v>
      </c>
      <c r="D98" s="254">
        <f>+D99+D100+D101+D102+D103+D104</f>
        <v>70338359</v>
      </c>
      <c r="E98" s="263">
        <f t="shared" si="3"/>
        <v>26654073</v>
      </c>
      <c r="F98" s="241">
        <f t="shared" si="4"/>
        <v>0.3789407853544038</v>
      </c>
    </row>
    <row r="99" spans="1:6" ht="12.75">
      <c r="A99" s="259">
        <v>417060</v>
      </c>
      <c r="B99" s="255" t="s">
        <v>219</v>
      </c>
      <c r="C99" s="254">
        <v>15174520</v>
      </c>
      <c r="D99" s="254">
        <v>14678557</v>
      </c>
      <c r="E99" s="263">
        <f t="shared" si="3"/>
        <v>495963</v>
      </c>
      <c r="F99" s="241">
        <f t="shared" si="4"/>
        <v>0.0337882667894398</v>
      </c>
    </row>
    <row r="100" spans="1:6" ht="12.75">
      <c r="A100" s="259">
        <v>417096</v>
      </c>
      <c r="B100" s="255" t="s">
        <v>220</v>
      </c>
      <c r="C100" s="254">
        <v>3490000</v>
      </c>
      <c r="D100" s="254">
        <v>6190000</v>
      </c>
      <c r="E100" s="263">
        <f t="shared" si="3"/>
        <v>-2700000</v>
      </c>
      <c r="F100" s="241">
        <f t="shared" si="4"/>
        <v>-0.4361873990306947</v>
      </c>
    </row>
    <row r="101" spans="1:6" ht="12.75">
      <c r="A101" s="259">
        <v>417097</v>
      </c>
      <c r="B101" s="255" t="s">
        <v>221</v>
      </c>
      <c r="C101" s="254">
        <v>60193011</v>
      </c>
      <c r="D101" s="254">
        <v>22956619</v>
      </c>
      <c r="E101" s="263">
        <f t="shared" si="3"/>
        <v>37236392</v>
      </c>
      <c r="F101" s="241">
        <f t="shared" si="4"/>
        <v>1.6220329308945711</v>
      </c>
    </row>
    <row r="102" spans="1:6" ht="12.75">
      <c r="A102" s="259">
        <v>417098</v>
      </c>
      <c r="B102" s="255" t="s">
        <v>222</v>
      </c>
      <c r="C102" s="254">
        <v>11138014</v>
      </c>
      <c r="D102" s="254">
        <v>18215072</v>
      </c>
      <c r="E102" s="263">
        <f t="shared" si="3"/>
        <v>-7077058</v>
      </c>
      <c r="F102" s="241">
        <f t="shared" si="4"/>
        <v>-0.38852758858158787</v>
      </c>
    </row>
    <row r="103" spans="1:6" ht="12.75">
      <c r="A103" s="259">
        <v>417099</v>
      </c>
      <c r="B103" s="255" t="s">
        <v>223</v>
      </c>
      <c r="C103" s="254">
        <v>5402942</v>
      </c>
      <c r="D103" s="254">
        <v>8031724</v>
      </c>
      <c r="E103" s="263">
        <f t="shared" si="3"/>
        <v>-2628782</v>
      </c>
      <c r="F103" s="241">
        <f t="shared" si="4"/>
        <v>-0.3272998424746667</v>
      </c>
    </row>
    <row r="104" spans="1:6" ht="12.75">
      <c r="A104" s="259">
        <v>417089</v>
      </c>
      <c r="B104" s="255" t="s">
        <v>224</v>
      </c>
      <c r="C104" s="254">
        <v>1593945</v>
      </c>
      <c r="D104" s="254">
        <v>266387</v>
      </c>
      <c r="E104" s="263">
        <f t="shared" si="3"/>
        <v>1327558</v>
      </c>
      <c r="F104" s="241">
        <f t="shared" si="4"/>
        <v>4.9835690180076355</v>
      </c>
    </row>
    <row r="105" spans="1:6" ht="12.75">
      <c r="A105" s="258">
        <v>42</v>
      </c>
      <c r="B105" s="252" t="s">
        <v>225</v>
      </c>
      <c r="C105" s="256">
        <f>+C106+C107+C108</f>
        <v>674321</v>
      </c>
      <c r="D105" s="256">
        <f>+D106+D107+D108</f>
        <v>14459601.780000001</v>
      </c>
      <c r="E105" s="251">
        <f>+C105-D105</f>
        <v>-13785280.780000001</v>
      </c>
      <c r="F105" s="241">
        <f t="shared" si="4"/>
        <v>-0.9533651749017946</v>
      </c>
    </row>
    <row r="106" spans="1:6" ht="12.75">
      <c r="A106" s="259">
        <v>4205</v>
      </c>
      <c r="B106" s="255" t="s">
        <v>226</v>
      </c>
      <c r="C106" s="254">
        <v>0</v>
      </c>
      <c r="D106" s="254">
        <v>0</v>
      </c>
      <c r="E106" s="263">
        <f>+C106-D106</f>
        <v>0</v>
      </c>
      <c r="F106" s="241">
        <v>0</v>
      </c>
    </row>
    <row r="107" spans="1:6" ht="12.75">
      <c r="A107" s="259">
        <v>4225</v>
      </c>
      <c r="B107" s="255" t="s">
        <v>227</v>
      </c>
      <c r="C107" s="254">
        <v>0</v>
      </c>
      <c r="D107" s="254">
        <v>10146660</v>
      </c>
      <c r="E107" s="263">
        <f>+C107-D107</f>
        <v>-10146660</v>
      </c>
      <c r="F107" s="241">
        <f t="shared" si="4"/>
        <v>-1</v>
      </c>
    </row>
    <row r="108" spans="1:6" ht="19.5" customHeight="1">
      <c r="A108" s="259">
        <v>4240</v>
      </c>
      <c r="B108" s="255" t="s">
        <v>228</v>
      </c>
      <c r="C108" s="254">
        <v>674321</v>
      </c>
      <c r="D108" s="254">
        <v>4312941.78</v>
      </c>
      <c r="E108" s="263">
        <f>+C108-D108</f>
        <v>-3638620.7800000003</v>
      </c>
      <c r="F108" s="241">
        <f t="shared" si="4"/>
        <v>-0.843651726733951</v>
      </c>
    </row>
    <row r="110" ht="13.5" thickBot="1"/>
    <row r="111" spans="1:6" ht="30" customHeight="1">
      <c r="A111" s="267" t="s">
        <v>195</v>
      </c>
      <c r="B111" s="268" t="s">
        <v>79</v>
      </c>
      <c r="C111" s="269" t="s">
        <v>297</v>
      </c>
      <c r="D111" s="269" t="s">
        <v>286</v>
      </c>
      <c r="E111" s="278" t="s">
        <v>173</v>
      </c>
      <c r="F111" s="270" t="s">
        <v>7</v>
      </c>
    </row>
    <row r="112" spans="1:6" ht="12.75">
      <c r="A112" s="271">
        <v>6</v>
      </c>
      <c r="B112" s="265" t="s">
        <v>229</v>
      </c>
      <c r="C112" s="266">
        <f>+C113</f>
        <v>56648032</v>
      </c>
      <c r="D112" s="266">
        <f>+D113</f>
        <v>31446042</v>
      </c>
      <c r="E112" s="251">
        <f aca="true" t="shared" si="5" ref="E112:E117">+C112-D112</f>
        <v>25201990</v>
      </c>
      <c r="F112" s="241">
        <f aca="true" t="shared" si="6" ref="F112:F117">+((C112/D112)-1)</f>
        <v>0.8014359963012196</v>
      </c>
    </row>
    <row r="113" spans="1:6" ht="12.75">
      <c r="A113" s="258">
        <v>61</v>
      </c>
      <c r="B113" s="252" t="s">
        <v>230</v>
      </c>
      <c r="C113" s="256">
        <f>+C114+C115+C116</f>
        <v>56648032</v>
      </c>
      <c r="D113" s="256">
        <f>+D114+D115+D116</f>
        <v>31446042</v>
      </c>
      <c r="E113" s="251">
        <f t="shared" si="5"/>
        <v>25201990</v>
      </c>
      <c r="F113" s="241">
        <f t="shared" si="6"/>
        <v>0.8014359963012196</v>
      </c>
    </row>
    <row r="114" spans="1:8" ht="12.75">
      <c r="A114" s="259">
        <v>6140</v>
      </c>
      <c r="B114" s="255" t="s">
        <v>285</v>
      </c>
      <c r="C114" s="254">
        <v>46091723</v>
      </c>
      <c r="D114" s="254">
        <v>16897184</v>
      </c>
      <c r="E114" s="263">
        <f t="shared" si="5"/>
        <v>29194539</v>
      </c>
      <c r="F114" s="241">
        <f t="shared" si="6"/>
        <v>1.7277754092042792</v>
      </c>
      <c r="H114" s="369"/>
    </row>
    <row r="115" spans="1:8" ht="12.75">
      <c r="A115" s="259">
        <v>6150</v>
      </c>
      <c r="B115" s="255" t="s">
        <v>231</v>
      </c>
      <c r="C115" s="254">
        <v>5087674</v>
      </c>
      <c r="D115" s="254">
        <v>6714695</v>
      </c>
      <c r="E115" s="263">
        <f t="shared" si="5"/>
        <v>-1627021</v>
      </c>
      <c r="F115" s="241">
        <f t="shared" si="6"/>
        <v>-0.24230750614882735</v>
      </c>
      <c r="H115" s="369"/>
    </row>
    <row r="116" spans="1:6" ht="12.75">
      <c r="A116" s="259">
        <v>6165</v>
      </c>
      <c r="B116" s="255" t="s">
        <v>217</v>
      </c>
      <c r="C116" s="254">
        <f>+C117</f>
        <v>5468635</v>
      </c>
      <c r="D116" s="254">
        <f>+D117</f>
        <v>7834163</v>
      </c>
      <c r="E116" s="263">
        <f t="shared" si="5"/>
        <v>-2365528</v>
      </c>
      <c r="F116" s="241">
        <f t="shared" si="6"/>
        <v>-0.3019503168366551</v>
      </c>
    </row>
    <row r="117" spans="1:6" ht="13.5" thickBot="1">
      <c r="A117" s="273">
        <v>616550</v>
      </c>
      <c r="B117" s="261" t="s">
        <v>223</v>
      </c>
      <c r="C117" s="264">
        <v>5468635</v>
      </c>
      <c r="D117" s="264">
        <v>7834163</v>
      </c>
      <c r="E117" s="264">
        <f t="shared" si="5"/>
        <v>-2365528</v>
      </c>
      <c r="F117" s="247">
        <f t="shared" si="6"/>
        <v>-0.3019503168366551</v>
      </c>
    </row>
    <row r="119" ht="13.5" thickBot="1"/>
    <row r="120" spans="1:6" ht="20.25">
      <c r="A120" s="267" t="s">
        <v>171</v>
      </c>
      <c r="B120" s="268" t="s">
        <v>79</v>
      </c>
      <c r="C120" s="279">
        <v>45261</v>
      </c>
      <c r="D120" s="279">
        <v>44896</v>
      </c>
      <c r="E120" s="278" t="s">
        <v>173</v>
      </c>
      <c r="F120" s="270" t="s">
        <v>7</v>
      </c>
    </row>
    <row r="121" spans="1:6" ht="12.75">
      <c r="A121" s="271">
        <v>5</v>
      </c>
      <c r="B121" s="265" t="s">
        <v>232</v>
      </c>
      <c r="C121" s="266">
        <f>+C122+C127</f>
        <v>93909198</v>
      </c>
      <c r="D121" s="266">
        <f>+D122+D127</f>
        <v>81696337.99000001</v>
      </c>
      <c r="E121" s="251">
        <f aca="true" t="shared" si="7" ref="E121:E126">+C121-D121</f>
        <v>12212860.00999999</v>
      </c>
      <c r="F121" s="241">
        <f aca="true" t="shared" si="8" ref="F121:F126">+((C121/D121)-1)</f>
        <v>0.14949091122658276</v>
      </c>
    </row>
    <row r="122" spans="1:6" ht="12.75">
      <c r="A122" s="258">
        <v>51</v>
      </c>
      <c r="B122" s="252" t="s">
        <v>233</v>
      </c>
      <c r="C122" s="256">
        <f>+C123+C124+C125+C126</f>
        <v>88284406</v>
      </c>
      <c r="D122" s="256">
        <f>+D123+D124+D125+D126</f>
        <v>75258125.73</v>
      </c>
      <c r="E122" s="251">
        <f t="shared" si="7"/>
        <v>13026280.269999996</v>
      </c>
      <c r="F122" s="241">
        <f t="shared" si="8"/>
        <v>0.17308802396612633</v>
      </c>
    </row>
    <row r="123" spans="1:6" ht="12.75">
      <c r="A123" s="259">
        <v>5105</v>
      </c>
      <c r="B123" s="255" t="s">
        <v>234</v>
      </c>
      <c r="C123" s="254">
        <v>55284050</v>
      </c>
      <c r="D123" s="254">
        <v>40355611</v>
      </c>
      <c r="E123" s="263">
        <f t="shared" si="7"/>
        <v>14928439</v>
      </c>
      <c r="F123" s="241">
        <f t="shared" si="8"/>
        <v>0.3699222643413824</v>
      </c>
    </row>
    <row r="124" spans="1:6" ht="12.75">
      <c r="A124" s="259">
        <v>5110</v>
      </c>
      <c r="B124" s="255" t="s">
        <v>235</v>
      </c>
      <c r="C124" s="254">
        <v>25924655</v>
      </c>
      <c r="D124" s="254">
        <v>23667548.73</v>
      </c>
      <c r="E124" s="263">
        <f t="shared" si="7"/>
        <v>2257106.2699999996</v>
      </c>
      <c r="F124" s="241">
        <f t="shared" si="8"/>
        <v>0.09536713310487399</v>
      </c>
    </row>
    <row r="125" spans="1:6" ht="12.75">
      <c r="A125" s="259">
        <v>5115</v>
      </c>
      <c r="B125" s="255" t="s">
        <v>236</v>
      </c>
      <c r="C125" s="254">
        <v>6077241</v>
      </c>
      <c r="D125" s="254">
        <v>10609688</v>
      </c>
      <c r="E125" s="263">
        <f t="shared" si="7"/>
        <v>-4532447</v>
      </c>
      <c r="F125" s="241">
        <f t="shared" si="8"/>
        <v>-0.42719889595245397</v>
      </c>
    </row>
    <row r="126" spans="1:6" ht="12.75">
      <c r="A126" s="259">
        <v>5125</v>
      </c>
      <c r="B126" s="255" t="s">
        <v>237</v>
      </c>
      <c r="C126" s="254">
        <v>998460</v>
      </c>
      <c r="D126" s="254">
        <v>625278</v>
      </c>
      <c r="E126" s="263">
        <f t="shared" si="7"/>
        <v>373182</v>
      </c>
      <c r="F126" s="241">
        <f t="shared" si="8"/>
        <v>0.5968257319144445</v>
      </c>
    </row>
    <row r="127" spans="1:6" ht="12.75">
      <c r="A127" s="258">
        <v>52</v>
      </c>
      <c r="B127" s="252" t="s">
        <v>238</v>
      </c>
      <c r="C127" s="251">
        <f>+C128</f>
        <v>5624792</v>
      </c>
      <c r="D127" s="251">
        <f>+D128</f>
        <v>6438212.26</v>
      </c>
      <c r="E127" s="251">
        <f>+E128</f>
        <v>-813420.2599999998</v>
      </c>
      <c r="F127" s="241">
        <f>+((C127/D127)-1)</f>
        <v>-0.12634256640678077</v>
      </c>
    </row>
    <row r="128" spans="1:6" ht="13.5" thickBot="1">
      <c r="A128" s="260">
        <v>5210</v>
      </c>
      <c r="B128" s="261" t="s">
        <v>239</v>
      </c>
      <c r="C128" s="262">
        <v>5624792</v>
      </c>
      <c r="D128" s="262">
        <v>6438212.26</v>
      </c>
      <c r="E128" s="264">
        <f>+C128-D128</f>
        <v>-813420.2599999998</v>
      </c>
      <c r="F128" s="247">
        <f>+((C128/D128)-1)</f>
        <v>-0.12634256640678077</v>
      </c>
    </row>
    <row r="130" ht="13.5" thickBot="1"/>
    <row r="131" spans="1:6" ht="21" thickBot="1">
      <c r="A131" s="267" t="s">
        <v>171</v>
      </c>
      <c r="B131" s="268" t="s">
        <v>79</v>
      </c>
      <c r="C131" s="279">
        <v>45261</v>
      </c>
      <c r="D131" s="279">
        <v>44896</v>
      </c>
      <c r="E131" s="280" t="s">
        <v>173</v>
      </c>
      <c r="F131" s="281" t="s">
        <v>7</v>
      </c>
    </row>
    <row r="132" spans="1:8" ht="12.75">
      <c r="A132" s="275">
        <v>511001</v>
      </c>
      <c r="B132" s="276" t="s">
        <v>240</v>
      </c>
      <c r="C132" s="282">
        <v>13680360</v>
      </c>
      <c r="D132" s="282">
        <v>13554621.6</v>
      </c>
      <c r="E132" s="263">
        <f aca="true" t="shared" si="9" ref="E132:E148">+C132-D132</f>
        <v>125738.40000000037</v>
      </c>
      <c r="F132" s="241">
        <f aca="true" t="shared" si="10" ref="F132:F148">+((C132/D132)-1)</f>
        <v>0.009276422736876677</v>
      </c>
      <c r="H132" s="369"/>
    </row>
    <row r="133" spans="1:9" ht="12.75">
      <c r="A133" s="272">
        <v>511002</v>
      </c>
      <c r="B133" s="253" t="s">
        <v>241</v>
      </c>
      <c r="C133" s="283">
        <v>1084167</v>
      </c>
      <c r="D133" s="283">
        <v>251096</v>
      </c>
      <c r="E133" s="263">
        <f t="shared" si="9"/>
        <v>833071</v>
      </c>
      <c r="F133" s="241">
        <f t="shared" si="10"/>
        <v>3.317739032083346</v>
      </c>
      <c r="I133" s="295"/>
    </row>
    <row r="134" spans="1:9" ht="12.75">
      <c r="A134" s="272">
        <v>511008</v>
      </c>
      <c r="B134" s="253" t="s">
        <v>287</v>
      </c>
      <c r="C134" s="283">
        <v>127184</v>
      </c>
      <c r="D134" s="283">
        <v>67200</v>
      </c>
      <c r="E134" s="263">
        <f>+C134-D134</f>
        <v>59984</v>
      </c>
      <c r="F134" s="241">
        <f t="shared" si="10"/>
        <v>0.8926190476190476</v>
      </c>
      <c r="I134" s="295"/>
    </row>
    <row r="135" spans="1:6" ht="12.75">
      <c r="A135" s="272">
        <v>511010</v>
      </c>
      <c r="B135" s="253" t="s">
        <v>242</v>
      </c>
      <c r="C135" s="283">
        <v>44904</v>
      </c>
      <c r="D135" s="283">
        <v>754971.13</v>
      </c>
      <c r="E135" s="263">
        <f t="shared" si="9"/>
        <v>-710067.13</v>
      </c>
      <c r="F135" s="241">
        <f t="shared" si="10"/>
        <v>-0.9405222289758285</v>
      </c>
    </row>
    <row r="136" spans="1:6" ht="12.75">
      <c r="A136" s="272">
        <v>511020</v>
      </c>
      <c r="B136" s="253" t="s">
        <v>243</v>
      </c>
      <c r="C136" s="283">
        <f>334460+8487</f>
        <v>342947</v>
      </c>
      <c r="D136" s="283">
        <v>411283</v>
      </c>
      <c r="E136" s="263">
        <f t="shared" si="9"/>
        <v>-68336</v>
      </c>
      <c r="F136" s="241">
        <f t="shared" si="10"/>
        <v>-0.16615323268892712</v>
      </c>
    </row>
    <row r="137" spans="1:6" ht="12.75">
      <c r="A137" s="272">
        <v>511022</v>
      </c>
      <c r="B137" s="253" t="s">
        <v>244</v>
      </c>
      <c r="C137" s="283">
        <v>814325</v>
      </c>
      <c r="D137" s="283">
        <v>1515189</v>
      </c>
      <c r="E137" s="263">
        <f t="shared" si="9"/>
        <v>-700864</v>
      </c>
      <c r="F137" s="241">
        <f t="shared" si="10"/>
        <v>-0.46255879629537966</v>
      </c>
    </row>
    <row r="138" spans="1:6" ht="12.75">
      <c r="A138" s="272">
        <v>511026</v>
      </c>
      <c r="B138" s="253" t="s">
        <v>245</v>
      </c>
      <c r="C138" s="283">
        <v>60000</v>
      </c>
      <c r="D138" s="283">
        <v>10000</v>
      </c>
      <c r="E138" s="263">
        <f t="shared" si="9"/>
        <v>50000</v>
      </c>
      <c r="F138" s="241">
        <f t="shared" si="10"/>
        <v>5</v>
      </c>
    </row>
    <row r="139" spans="1:6" ht="12.75">
      <c r="A139" s="272">
        <v>511028</v>
      </c>
      <c r="B139" s="253" t="s">
        <v>246</v>
      </c>
      <c r="C139" s="283">
        <v>198521</v>
      </c>
      <c r="D139" s="283">
        <v>431971</v>
      </c>
      <c r="E139" s="263">
        <f t="shared" si="9"/>
        <v>-233450</v>
      </c>
      <c r="F139" s="241">
        <f t="shared" si="10"/>
        <v>-0.5404297973706569</v>
      </c>
    </row>
    <row r="140" spans="1:6" ht="12.75">
      <c r="A140" s="272">
        <v>511034</v>
      </c>
      <c r="B140" s="253" t="s">
        <v>258</v>
      </c>
      <c r="C140" s="283">
        <v>1690059</v>
      </c>
      <c r="D140" s="283">
        <v>0</v>
      </c>
      <c r="E140" s="263">
        <f>+C140-D140</f>
        <v>1690059</v>
      </c>
      <c r="F140" s="241" t="e">
        <f t="shared" si="10"/>
        <v>#DIV/0!</v>
      </c>
    </row>
    <row r="141" spans="1:6" ht="12.75">
      <c r="A141" s="272">
        <v>511036</v>
      </c>
      <c r="B141" s="253" t="s">
        <v>288</v>
      </c>
      <c r="C141" s="283">
        <v>1562047</v>
      </c>
      <c r="D141" s="283">
        <v>990000</v>
      </c>
      <c r="E141" s="263">
        <f>+C141-D141</f>
        <v>572047</v>
      </c>
      <c r="F141" s="241">
        <f t="shared" si="10"/>
        <v>0.5778252525252525</v>
      </c>
    </row>
    <row r="142" spans="1:6" ht="12.75">
      <c r="A142" s="272">
        <v>511038</v>
      </c>
      <c r="B142" s="253" t="s">
        <v>247</v>
      </c>
      <c r="C142" s="283">
        <v>290239</v>
      </c>
      <c r="D142" s="283">
        <v>0</v>
      </c>
      <c r="E142" s="263">
        <f t="shared" si="9"/>
        <v>290239</v>
      </c>
      <c r="F142" s="241" t="e">
        <f t="shared" si="10"/>
        <v>#DIV/0!</v>
      </c>
    </row>
    <row r="143" spans="1:6" ht="12.75">
      <c r="A143" s="272">
        <v>511040</v>
      </c>
      <c r="B143" s="253" t="s">
        <v>248</v>
      </c>
      <c r="C143" s="283">
        <v>1960200</v>
      </c>
      <c r="D143" s="283">
        <v>1777399</v>
      </c>
      <c r="E143" s="263">
        <f t="shared" si="9"/>
        <v>182801</v>
      </c>
      <c r="F143" s="241">
        <f t="shared" si="10"/>
        <v>0.10284747544023598</v>
      </c>
    </row>
    <row r="144" spans="1:6" ht="12.75">
      <c r="A144" s="272">
        <v>511050</v>
      </c>
      <c r="B144" s="253" t="s">
        <v>252</v>
      </c>
      <c r="C144" s="283">
        <v>0</v>
      </c>
      <c r="D144" s="283">
        <v>1480428</v>
      </c>
      <c r="E144" s="263">
        <f>+C144-D144</f>
        <v>-1480428</v>
      </c>
      <c r="F144" s="241">
        <f t="shared" si="10"/>
        <v>-1</v>
      </c>
    </row>
    <row r="145" spans="1:6" ht="12.75">
      <c r="A145" s="272">
        <v>511054</v>
      </c>
      <c r="B145" s="253" t="s">
        <v>251</v>
      </c>
      <c r="C145" s="283">
        <v>0</v>
      </c>
      <c r="D145" s="283">
        <v>0</v>
      </c>
      <c r="E145" s="263">
        <f>+C145-D145</f>
        <v>0</v>
      </c>
      <c r="F145" s="241" t="e">
        <f t="shared" si="10"/>
        <v>#DIV/0!</v>
      </c>
    </row>
    <row r="146" spans="1:6" ht="12.75">
      <c r="A146" s="272">
        <v>511056</v>
      </c>
      <c r="B146" s="253" t="s">
        <v>289</v>
      </c>
      <c r="C146" s="283">
        <v>479583</v>
      </c>
      <c r="D146" s="283">
        <v>172667</v>
      </c>
      <c r="E146" s="263">
        <f>+C146-D146</f>
        <v>306916</v>
      </c>
      <c r="F146" s="241">
        <f t="shared" si="10"/>
        <v>1.7775023600340538</v>
      </c>
    </row>
    <row r="147" spans="1:6" ht="12.75">
      <c r="A147" s="272">
        <v>511058</v>
      </c>
      <c r="B147" s="253" t="s">
        <v>249</v>
      </c>
      <c r="C147" s="283">
        <v>2423885</v>
      </c>
      <c r="D147" s="283">
        <v>2195000</v>
      </c>
      <c r="E147" s="263">
        <f t="shared" si="9"/>
        <v>228885</v>
      </c>
      <c r="F147" s="241">
        <f t="shared" si="10"/>
        <v>0.10427562642369015</v>
      </c>
    </row>
    <row r="148" spans="1:6" ht="13.5" thickBot="1">
      <c r="A148" s="273">
        <v>511095</v>
      </c>
      <c r="B148" s="277" t="s">
        <v>250</v>
      </c>
      <c r="C148" s="284">
        <v>1166235</v>
      </c>
      <c r="D148" s="284">
        <v>55723</v>
      </c>
      <c r="E148" s="264">
        <f t="shared" si="9"/>
        <v>1110512</v>
      </c>
      <c r="F148" s="247">
        <f t="shared" si="10"/>
        <v>19.929149543276566</v>
      </c>
    </row>
    <row r="149" ht="14.25">
      <c r="A149" s="274"/>
    </row>
    <row r="150" ht="13.5" thickBot="1"/>
    <row r="151" spans="2:6" ht="21" thickBot="1">
      <c r="B151" s="285" t="s">
        <v>79</v>
      </c>
      <c r="C151" s="206" t="s">
        <v>296</v>
      </c>
      <c r="D151" s="286" t="s">
        <v>286</v>
      </c>
      <c r="E151" s="236" t="s">
        <v>173</v>
      </c>
      <c r="F151" s="287" t="s">
        <v>7</v>
      </c>
    </row>
    <row r="152" spans="2:6" ht="12.75">
      <c r="B152" s="288" t="s">
        <v>253</v>
      </c>
      <c r="C152" s="254">
        <f>+Estado_Resultados_2023!D10-Estado_Resultados_2023!D19</f>
        <v>-33204000</v>
      </c>
      <c r="D152" s="254">
        <v>217000</v>
      </c>
      <c r="E152" s="263">
        <f>+C152-D152</f>
        <v>-33421000</v>
      </c>
      <c r="F152" s="241">
        <f>+((C152/D152)-1)</f>
        <v>-154.01382488479263</v>
      </c>
    </row>
    <row r="153" spans="2:6" ht="12.75">
      <c r="B153" s="288" t="s">
        <v>254</v>
      </c>
      <c r="C153" s="254">
        <f>+Estado_Resultados_2023!D15-Estado_Resultados_2023!D27</f>
        <v>672000</v>
      </c>
      <c r="D153" s="254">
        <v>4311000</v>
      </c>
      <c r="E153" s="263">
        <f>+C153-D153</f>
        <v>-3639000</v>
      </c>
      <c r="F153" s="241">
        <f>+((C153/D153)-1)</f>
        <v>-0.8441196938065414</v>
      </c>
    </row>
    <row r="154" spans="2:6" ht="13.5" thickBot="1">
      <c r="B154" s="289" t="s">
        <v>255</v>
      </c>
      <c r="C154" s="262">
        <f>SUM(C152:C153)</f>
        <v>-32532000</v>
      </c>
      <c r="D154" s="262">
        <f>SUM(D152:D153)</f>
        <v>4528000</v>
      </c>
      <c r="E154" s="264">
        <f>+C154-D154</f>
        <v>-37060000</v>
      </c>
      <c r="F154" s="247">
        <f>+((C154/D154)-1)</f>
        <v>-8.184628975265017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9"/>
  <sheetViews>
    <sheetView tabSelected="1" zoomScale="70" zoomScaleNormal="70" zoomScalePageLayoutView="0" workbookViewId="0" topLeftCell="A1">
      <selection activeCell="G16" sqref="G16"/>
    </sheetView>
  </sheetViews>
  <sheetFormatPr defaultColWidth="11.421875" defaultRowHeight="12.75"/>
  <cols>
    <col min="1" max="1" width="2.8515625" style="5" customWidth="1"/>
    <col min="2" max="2" width="27.57421875" style="2" customWidth="1"/>
    <col min="3" max="3" width="21.7109375" style="155" customWidth="1"/>
    <col min="4" max="4" width="9.7109375" style="155" customWidth="1"/>
    <col min="5" max="5" width="16.7109375" style="360" customWidth="1"/>
    <col min="6" max="6" width="8.8515625" style="363" bestFit="1" customWidth="1"/>
    <col min="7" max="7" width="15.8515625" style="360" customWidth="1"/>
    <col min="8" max="8" width="9.140625" style="3" customWidth="1"/>
    <col min="9" max="9" width="14.7109375" style="6" customWidth="1"/>
    <col min="10" max="10" width="11.57421875" style="3" bestFit="1" customWidth="1"/>
    <col min="11" max="11" width="2.7109375" style="5" customWidth="1"/>
    <col min="12" max="12" width="24.28125" style="5" customWidth="1"/>
    <col min="13" max="16384" width="11.421875" style="5" customWidth="1"/>
  </cols>
  <sheetData>
    <row r="1" spans="2:10" s="1" customFormat="1" ht="20.25">
      <c r="B1" s="381" t="s">
        <v>292</v>
      </c>
      <c r="C1" s="381"/>
      <c r="D1" s="381"/>
      <c r="E1" s="381"/>
      <c r="F1" s="381"/>
      <c r="G1" s="381"/>
      <c r="H1" s="381"/>
      <c r="I1" s="381"/>
      <c r="J1" s="381"/>
    </row>
    <row r="2" spans="2:10" s="1" customFormat="1" ht="15">
      <c r="B2" s="379" t="s">
        <v>156</v>
      </c>
      <c r="C2" s="379"/>
      <c r="D2" s="379"/>
      <c r="E2" s="379"/>
      <c r="F2" s="379"/>
      <c r="G2" s="379"/>
      <c r="H2" s="379"/>
      <c r="I2" s="379"/>
      <c r="J2" s="379"/>
    </row>
    <row r="3" spans="2:10" ht="15">
      <c r="B3" s="382" t="s">
        <v>293</v>
      </c>
      <c r="C3" s="382"/>
      <c r="D3" s="382"/>
      <c r="E3" s="382"/>
      <c r="F3" s="382"/>
      <c r="G3" s="382"/>
      <c r="H3" s="382"/>
      <c r="I3" s="382"/>
      <c r="J3" s="382"/>
    </row>
    <row r="4" spans="2:10" ht="15">
      <c r="B4" s="383" t="s">
        <v>256</v>
      </c>
      <c r="C4" s="383"/>
      <c r="D4" s="383"/>
      <c r="E4" s="383"/>
      <c r="F4" s="383"/>
      <c r="G4" s="383"/>
      <c r="H4" s="383"/>
      <c r="I4" s="383"/>
      <c r="J4" s="383"/>
    </row>
    <row r="5" spans="2:10" ht="14.25" thickBot="1">
      <c r="B5" s="383"/>
      <c r="C5" s="383"/>
      <c r="D5" s="383"/>
      <c r="E5" s="383"/>
      <c r="F5" s="383"/>
      <c r="G5" s="383"/>
      <c r="H5" s="383"/>
      <c r="I5" s="383"/>
      <c r="J5" s="383"/>
    </row>
    <row r="6" spans="2:10" ht="13.5">
      <c r="B6" s="7"/>
      <c r="C6" s="8"/>
      <c r="D6" s="8" t="s">
        <v>318</v>
      </c>
      <c r="E6" s="311">
        <v>2023</v>
      </c>
      <c r="F6" s="337"/>
      <c r="G6" s="311">
        <v>2022</v>
      </c>
      <c r="H6" s="9"/>
      <c r="I6" s="200"/>
      <c r="J6" s="10"/>
    </row>
    <row r="7" spans="2:10" ht="15">
      <c r="B7" s="11"/>
      <c r="C7" s="12"/>
      <c r="D7" s="12"/>
      <c r="E7" s="315" t="s">
        <v>5</v>
      </c>
      <c r="F7" s="314"/>
      <c r="G7" s="315" t="s">
        <v>5</v>
      </c>
      <c r="H7" s="14"/>
      <c r="I7" s="15" t="s">
        <v>8</v>
      </c>
      <c r="J7" s="16"/>
    </row>
    <row r="8" spans="2:10" ht="13.5">
      <c r="B8" s="17" t="s">
        <v>12</v>
      </c>
      <c r="C8" s="18"/>
      <c r="D8" s="18"/>
      <c r="E8" s="315">
        <f>+E12+E17+E23+E28</f>
        <v>259563000</v>
      </c>
      <c r="F8" s="316" t="s">
        <v>7</v>
      </c>
      <c r="G8" s="315">
        <f>+G12+G17+G23+G28</f>
        <v>292600000</v>
      </c>
      <c r="H8" s="19" t="s">
        <v>7</v>
      </c>
      <c r="I8" s="291" t="s">
        <v>11</v>
      </c>
      <c r="J8" s="20" t="s">
        <v>39</v>
      </c>
    </row>
    <row r="9" spans="2:10" ht="13.5">
      <c r="B9" s="17"/>
      <c r="C9" s="18"/>
      <c r="D9" s="18"/>
      <c r="E9" s="315"/>
      <c r="F9" s="316"/>
      <c r="G9" s="315"/>
      <c r="H9" s="19"/>
      <c r="I9" s="291"/>
      <c r="J9" s="20"/>
    </row>
    <row r="10" spans="2:10" ht="13.5">
      <c r="B10" s="17" t="s">
        <v>37</v>
      </c>
      <c r="C10" s="12"/>
      <c r="D10" s="12"/>
      <c r="E10" s="338">
        <f>+E12+E17+E23</f>
        <v>253538000</v>
      </c>
      <c r="F10" s="339"/>
      <c r="G10" s="338">
        <f>+G12+G17+G23</f>
        <v>288775000</v>
      </c>
      <c r="H10" s="13"/>
      <c r="I10" s="33">
        <f>+E10-G10</f>
        <v>-35237000</v>
      </c>
      <c r="J10" s="25">
        <f>+I10/I$34</f>
        <v>1.066592002905833</v>
      </c>
    </row>
    <row r="11" spans="2:12" ht="13.5">
      <c r="B11" s="17"/>
      <c r="C11" s="12"/>
      <c r="D11" s="12"/>
      <c r="E11" s="338"/>
      <c r="F11" s="339"/>
      <c r="G11" s="338"/>
      <c r="H11" s="13"/>
      <c r="I11" s="193"/>
      <c r="J11" s="22"/>
      <c r="L11" s="4"/>
    </row>
    <row r="12" spans="2:12" s="26" customFormat="1" ht="18" customHeight="1">
      <c r="B12" s="23" t="s">
        <v>32</v>
      </c>
      <c r="C12" s="12"/>
      <c r="D12" s="12" t="s">
        <v>319</v>
      </c>
      <c r="E12" s="338">
        <f>SUM(E13:E15)</f>
        <v>31689000</v>
      </c>
      <c r="F12" s="339">
        <f>+E12/E$34</f>
        <v>0.12208596756856717</v>
      </c>
      <c r="G12" s="338">
        <f>SUM(G13:G15)</f>
        <v>19189000</v>
      </c>
      <c r="H12" s="24">
        <f>+G12/G$34</f>
        <v>0.065580997949419</v>
      </c>
      <c r="I12" s="33">
        <f>SUM(I13:I15)</f>
        <v>12500000</v>
      </c>
      <c r="J12" s="25">
        <f>+I12/I$34</f>
        <v>-0.3783636528740503</v>
      </c>
      <c r="L12" s="27"/>
    </row>
    <row r="13" spans="2:10" s="30" customFormat="1" ht="18" customHeight="1">
      <c r="B13" s="11" t="s">
        <v>36</v>
      </c>
      <c r="C13" s="12"/>
      <c r="D13" s="12"/>
      <c r="E13" s="340">
        <v>9664000</v>
      </c>
      <c r="F13" s="339"/>
      <c r="G13" s="340">
        <v>249000</v>
      </c>
      <c r="H13" s="28"/>
      <c r="I13" s="193">
        <f>+E13-G13</f>
        <v>9415000</v>
      </c>
      <c r="J13" s="29"/>
    </row>
    <row r="14" spans="2:10" s="30" customFormat="1" ht="18" customHeight="1">
      <c r="B14" s="11" t="s">
        <v>35</v>
      </c>
      <c r="C14" s="12"/>
      <c r="D14" s="12"/>
      <c r="E14" s="340">
        <v>6471000</v>
      </c>
      <c r="F14" s="339"/>
      <c r="G14" s="340">
        <v>4393000</v>
      </c>
      <c r="H14" s="28"/>
      <c r="I14" s="193">
        <f aca="true" t="shared" si="0" ref="I14:I33">+E14-G14</f>
        <v>2078000</v>
      </c>
      <c r="J14" s="29"/>
    </row>
    <row r="15" spans="2:10" ht="18" customHeight="1">
      <c r="B15" s="11" t="s">
        <v>273</v>
      </c>
      <c r="E15" s="340">
        <v>15554000</v>
      </c>
      <c r="F15" s="341"/>
      <c r="G15" s="340">
        <v>14547000</v>
      </c>
      <c r="H15" s="305"/>
      <c r="I15" s="226">
        <f>+E15-G15</f>
        <v>1007000</v>
      </c>
      <c r="J15" s="29"/>
    </row>
    <row r="16" spans="2:12" s="26" customFormat="1" ht="18" customHeight="1">
      <c r="B16" s="11"/>
      <c r="C16" s="12"/>
      <c r="D16" s="12"/>
      <c r="E16" s="342"/>
      <c r="F16" s="339"/>
      <c r="G16" s="342"/>
      <c r="H16" s="28"/>
      <c r="I16" s="193"/>
      <c r="J16" s="29"/>
      <c r="L16" s="27"/>
    </row>
    <row r="17" spans="2:10" s="30" customFormat="1" ht="18" customHeight="1">
      <c r="B17" s="23" t="s">
        <v>33</v>
      </c>
      <c r="C17" s="12"/>
      <c r="D17" s="12"/>
      <c r="E17" s="338">
        <f>SUM(E18:E22)</f>
        <v>220284000</v>
      </c>
      <c r="F17" s="339">
        <f>+E17/E$34</f>
        <v>0.8486725765999006</v>
      </c>
      <c r="G17" s="338">
        <f>SUM(G18:G22)</f>
        <v>268021000</v>
      </c>
      <c r="H17" s="24">
        <f>+G17/G$34</f>
        <v>0.915997949419002</v>
      </c>
      <c r="I17" s="33">
        <f>SUM(I18:I22)</f>
        <v>-47737000</v>
      </c>
      <c r="J17" s="25">
        <f>+I17/I$34</f>
        <v>1.444955655779883</v>
      </c>
    </row>
    <row r="18" spans="2:10" s="30" customFormat="1" ht="18" customHeight="1">
      <c r="B18" s="11" t="s">
        <v>153</v>
      </c>
      <c r="C18" s="31"/>
      <c r="D18" s="12" t="s">
        <v>321</v>
      </c>
      <c r="E18" s="340">
        <v>62296000</v>
      </c>
      <c r="F18" s="339"/>
      <c r="G18" s="340">
        <v>95965000</v>
      </c>
      <c r="H18" s="24"/>
      <c r="I18" s="193">
        <f t="shared" si="0"/>
        <v>-33669000</v>
      </c>
      <c r="J18" s="29"/>
    </row>
    <row r="19" spans="2:10" s="30" customFormat="1" ht="18" customHeight="1">
      <c r="B19" s="11" t="s">
        <v>154</v>
      </c>
      <c r="C19" s="31"/>
      <c r="D19" s="12" t="s">
        <v>321</v>
      </c>
      <c r="E19" s="340">
        <v>-7375000</v>
      </c>
      <c r="F19" s="339"/>
      <c r="G19" s="340">
        <v>-9141000</v>
      </c>
      <c r="H19" s="24"/>
      <c r="I19" s="193">
        <f t="shared" si="0"/>
        <v>1766000</v>
      </c>
      <c r="J19" s="29"/>
    </row>
    <row r="20" spans="2:10" s="30" customFormat="1" ht="18" customHeight="1">
      <c r="B20" s="191" t="s">
        <v>155</v>
      </c>
      <c r="C20" s="31"/>
      <c r="D20" s="12" t="s">
        <v>322</v>
      </c>
      <c r="E20" s="340">
        <v>369000</v>
      </c>
      <c r="F20" s="314"/>
      <c r="G20" s="340">
        <v>783000</v>
      </c>
      <c r="H20" s="32"/>
      <c r="I20" s="193">
        <f t="shared" si="0"/>
        <v>-414000</v>
      </c>
      <c r="J20" s="29"/>
    </row>
    <row r="21" spans="2:10" s="30" customFormat="1" ht="18" customHeight="1">
      <c r="B21" s="11" t="s">
        <v>166</v>
      </c>
      <c r="C21" s="31"/>
      <c r="D21" s="12" t="s">
        <v>322</v>
      </c>
      <c r="E21" s="340">
        <v>164195000</v>
      </c>
      <c r="F21" s="314"/>
      <c r="G21" s="340">
        <v>180179000</v>
      </c>
      <c r="H21" s="32"/>
      <c r="I21" s="193">
        <f t="shared" si="0"/>
        <v>-15984000</v>
      </c>
      <c r="J21" s="29"/>
    </row>
    <row r="22" spans="2:10" s="30" customFormat="1" ht="18" customHeight="1">
      <c r="B22" s="384" t="s">
        <v>274</v>
      </c>
      <c r="C22" s="385"/>
      <c r="D22" s="12" t="s">
        <v>322</v>
      </c>
      <c r="E22" s="340">
        <v>799000</v>
      </c>
      <c r="F22" s="343"/>
      <c r="G22" s="340">
        <v>235000</v>
      </c>
      <c r="H22" s="307"/>
      <c r="I22" s="226">
        <f t="shared" si="0"/>
        <v>564000</v>
      </c>
      <c r="J22" s="29"/>
    </row>
    <row r="23" spans="2:10" s="30" customFormat="1" ht="18" customHeight="1">
      <c r="B23" s="23" t="s">
        <v>34</v>
      </c>
      <c r="C23" s="31"/>
      <c r="D23" s="12" t="s">
        <v>320</v>
      </c>
      <c r="E23" s="338">
        <f>SUM(E24)</f>
        <v>1565000</v>
      </c>
      <c r="F23" s="339">
        <f>+E23/E$34</f>
        <v>0.006029364739966791</v>
      </c>
      <c r="G23" s="338">
        <f>SUM(G24)</f>
        <v>1565000</v>
      </c>
      <c r="H23" s="24">
        <f>+G23/G$34</f>
        <v>0.005348598769651401</v>
      </c>
      <c r="I23" s="33">
        <f t="shared" si="0"/>
        <v>0</v>
      </c>
      <c r="J23" s="25">
        <f>+I23/I$34</f>
        <v>0</v>
      </c>
    </row>
    <row r="24" spans="2:10" s="30" customFormat="1" ht="18" customHeight="1">
      <c r="B24" s="11" t="s">
        <v>152</v>
      </c>
      <c r="C24" s="31"/>
      <c r="D24" s="31"/>
      <c r="E24" s="340">
        <v>1565000</v>
      </c>
      <c r="F24" s="343"/>
      <c r="G24" s="340">
        <v>1565000</v>
      </c>
      <c r="H24" s="32"/>
      <c r="I24" s="193">
        <f t="shared" si="0"/>
        <v>0</v>
      </c>
      <c r="J24" s="29"/>
    </row>
    <row r="25" spans="2:10" s="30" customFormat="1" ht="18" customHeight="1">
      <c r="B25" s="11"/>
      <c r="C25" s="31"/>
      <c r="D25" s="31"/>
      <c r="E25" s="342"/>
      <c r="F25" s="314"/>
      <c r="G25" s="342"/>
      <c r="H25" s="32"/>
      <c r="I25" s="193"/>
      <c r="J25" s="29"/>
    </row>
    <row r="26" spans="2:10" s="30" customFormat="1" ht="18" customHeight="1">
      <c r="B26" s="17" t="s">
        <v>38</v>
      </c>
      <c r="C26" s="31"/>
      <c r="D26" s="31"/>
      <c r="E26" s="338">
        <f>+E28</f>
        <v>6025000</v>
      </c>
      <c r="F26" s="314"/>
      <c r="G26" s="338">
        <f>+G28</f>
        <v>3825000</v>
      </c>
      <c r="H26" s="32"/>
      <c r="I26" s="33">
        <f>+I28</f>
        <v>2200000</v>
      </c>
      <c r="J26" s="25">
        <f>+I26/I$34</f>
        <v>-0.06659200290583285</v>
      </c>
    </row>
    <row r="27" spans="2:12" s="26" customFormat="1" ht="18" customHeight="1">
      <c r="B27" s="17"/>
      <c r="C27" s="31"/>
      <c r="D27" s="31"/>
      <c r="E27" s="338"/>
      <c r="F27" s="314"/>
      <c r="G27" s="338"/>
      <c r="H27" s="32"/>
      <c r="I27" s="33"/>
      <c r="J27" s="25"/>
      <c r="L27" s="27"/>
    </row>
    <row r="28" spans="2:12" s="26" customFormat="1" ht="18" customHeight="1">
      <c r="B28" s="23" t="s">
        <v>40</v>
      </c>
      <c r="C28" s="12"/>
      <c r="D28" s="12" t="s">
        <v>323</v>
      </c>
      <c r="E28" s="338">
        <f>SUM(E29:E33)</f>
        <v>6025000</v>
      </c>
      <c r="F28" s="339">
        <f>+E28/E$34</f>
        <v>0.02321209109156544</v>
      </c>
      <c r="G28" s="338">
        <f>SUM(G29:G33)</f>
        <v>3825000</v>
      </c>
      <c r="H28" s="24">
        <f>+G28/G$34</f>
        <v>0.013072453861927546</v>
      </c>
      <c r="I28" s="33">
        <f>SUM(I29:I33)</f>
        <v>2200000</v>
      </c>
      <c r="J28" s="25">
        <f>+I28/I$34</f>
        <v>-0.06659200290583285</v>
      </c>
      <c r="L28" s="27"/>
    </row>
    <row r="29" spans="2:12" s="26" customFormat="1" ht="18" customHeight="1">
      <c r="B29" s="11" t="s">
        <v>22</v>
      </c>
      <c r="C29" s="12"/>
      <c r="D29" s="12"/>
      <c r="E29" s="340">
        <v>6253000</v>
      </c>
      <c r="F29" s="341"/>
      <c r="G29" s="340">
        <v>6253000</v>
      </c>
      <c r="H29" s="28"/>
      <c r="I29" s="193">
        <f t="shared" si="0"/>
        <v>0</v>
      </c>
      <c r="J29" s="29"/>
      <c r="L29" s="27"/>
    </row>
    <row r="30" spans="2:12" s="26" customFormat="1" ht="18" customHeight="1">
      <c r="B30" s="11" t="s">
        <v>23</v>
      </c>
      <c r="C30" s="12"/>
      <c r="D30" s="12"/>
      <c r="E30" s="340">
        <v>6314000</v>
      </c>
      <c r="F30" s="341"/>
      <c r="G30" s="340">
        <v>3115000</v>
      </c>
      <c r="H30" s="28"/>
      <c r="I30" s="193">
        <f t="shared" si="0"/>
        <v>3199000</v>
      </c>
      <c r="J30" s="29"/>
      <c r="L30" s="27"/>
    </row>
    <row r="31" spans="2:12" s="26" customFormat="1" ht="18" customHeight="1">
      <c r="B31" s="11"/>
      <c r="C31" s="12"/>
      <c r="D31" s="12"/>
      <c r="E31" s="340"/>
      <c r="F31" s="341"/>
      <c r="G31" s="340"/>
      <c r="H31" s="28"/>
      <c r="I31" s="193"/>
      <c r="J31" s="29"/>
      <c r="L31" s="27"/>
    </row>
    <row r="32" spans="2:12" s="26" customFormat="1" ht="18" customHeight="1">
      <c r="B32" s="11" t="s">
        <v>24</v>
      </c>
      <c r="C32" s="12"/>
      <c r="D32" s="12"/>
      <c r="E32" s="340">
        <v>-3054000</v>
      </c>
      <c r="F32" s="341"/>
      <c r="G32" s="340">
        <v>-2428000</v>
      </c>
      <c r="H32" s="28"/>
      <c r="I32" s="193">
        <f t="shared" si="0"/>
        <v>-626000</v>
      </c>
      <c r="J32" s="29"/>
      <c r="L32" s="27"/>
    </row>
    <row r="33" spans="2:10" s="26" customFormat="1" ht="21.75" customHeight="1" thickBot="1">
      <c r="B33" s="11" t="s">
        <v>25</v>
      </c>
      <c r="C33" s="12"/>
      <c r="D33" s="12"/>
      <c r="E33" s="340">
        <v>-3488000</v>
      </c>
      <c r="F33" s="341"/>
      <c r="G33" s="340">
        <v>-3115000</v>
      </c>
      <c r="H33" s="28"/>
      <c r="I33" s="193">
        <f t="shared" si="0"/>
        <v>-373000</v>
      </c>
      <c r="J33" s="29"/>
    </row>
    <row r="34" spans="2:10" s="26" customFormat="1" ht="21.75" customHeight="1" thickBot="1">
      <c r="B34" s="17" t="s">
        <v>2</v>
      </c>
      <c r="C34" s="12"/>
      <c r="D34" s="12"/>
      <c r="E34" s="344">
        <f aca="true" t="shared" si="1" ref="E34:J34">+E12+E17+E28+E23</f>
        <v>259563000</v>
      </c>
      <c r="F34" s="345">
        <f t="shared" si="1"/>
        <v>0.9999999999999999</v>
      </c>
      <c r="G34" s="344">
        <f t="shared" si="1"/>
        <v>292600000</v>
      </c>
      <c r="H34" s="290">
        <f t="shared" si="1"/>
        <v>1</v>
      </c>
      <c r="I34" s="194">
        <f t="shared" si="1"/>
        <v>-33037000</v>
      </c>
      <c r="J34" s="292">
        <f t="shared" si="1"/>
        <v>0.9999999999999998</v>
      </c>
    </row>
    <row r="35" spans="2:10" s="26" customFormat="1" ht="21.75" customHeight="1" thickTop="1">
      <c r="B35" s="17"/>
      <c r="C35" s="12"/>
      <c r="D35" s="12"/>
      <c r="E35" s="338"/>
      <c r="F35" s="346"/>
      <c r="G35" s="338"/>
      <c r="H35" s="34"/>
      <c r="I35" s="33"/>
      <c r="J35" s="35"/>
    </row>
    <row r="36" spans="2:10" s="26" customFormat="1" ht="14.25" thickBot="1">
      <c r="B36" s="36"/>
      <c r="C36" s="37"/>
      <c r="D36" s="37"/>
      <c r="E36" s="347"/>
      <c r="F36" s="348"/>
      <c r="G36" s="347"/>
      <c r="H36" s="39"/>
      <c r="I36" s="38"/>
      <c r="J36" s="40"/>
    </row>
    <row r="37" spans="2:10" s="1" customFormat="1" ht="15">
      <c r="B37" s="12"/>
      <c r="C37" s="12"/>
      <c r="D37" s="12"/>
      <c r="E37" s="338"/>
      <c r="F37" s="346"/>
      <c r="G37" s="338"/>
      <c r="H37" s="34"/>
      <c r="I37" s="33"/>
      <c r="J37" s="34"/>
    </row>
    <row r="38" spans="2:10" s="1" customFormat="1" ht="20.25">
      <c r="B38" s="381" t="str">
        <f>+B1</f>
        <v>PROYECTAR ASOCIACIÓN MUTUAL - 2023</v>
      </c>
      <c r="C38" s="381"/>
      <c r="D38" s="381"/>
      <c r="E38" s="381"/>
      <c r="F38" s="381"/>
      <c r="G38" s="381"/>
      <c r="H38" s="381"/>
      <c r="I38" s="381"/>
      <c r="J38" s="381"/>
    </row>
    <row r="39" spans="2:10" ht="15">
      <c r="B39" s="379" t="str">
        <f>+B2</f>
        <v>N.I.T.  900.384,918-8</v>
      </c>
      <c r="C39" s="379"/>
      <c r="D39" s="379"/>
      <c r="E39" s="379"/>
      <c r="F39" s="379"/>
      <c r="G39" s="379"/>
      <c r="H39" s="379"/>
      <c r="I39" s="379"/>
      <c r="J39" s="379"/>
    </row>
    <row r="40" spans="2:10" s="26" customFormat="1" ht="15">
      <c r="B40" s="379" t="str">
        <f>+B3</f>
        <v>ESTADO DE SITUACION FINANCIERA A DICIEMBRE 31 DE 2023</v>
      </c>
      <c r="C40" s="379"/>
      <c r="D40" s="379"/>
      <c r="E40" s="379"/>
      <c r="F40" s="379"/>
      <c r="G40" s="379"/>
      <c r="H40" s="379"/>
      <c r="I40" s="379"/>
      <c r="J40" s="379"/>
    </row>
    <row r="41" spans="2:10" s="26" customFormat="1" ht="21.75" customHeight="1">
      <c r="B41" s="380" t="str">
        <f>+B4</f>
        <v>GRUPO II - NIIF</v>
      </c>
      <c r="C41" s="380"/>
      <c r="D41" s="380"/>
      <c r="E41" s="380"/>
      <c r="F41" s="380"/>
      <c r="G41" s="380"/>
      <c r="H41" s="380"/>
      <c r="I41" s="380"/>
      <c r="J41" s="380"/>
    </row>
    <row r="42" spans="2:10" ht="14.25" thickBot="1">
      <c r="B42" s="12"/>
      <c r="C42" s="12"/>
      <c r="D42" s="12"/>
      <c r="E42" s="338"/>
      <c r="F42" s="346"/>
      <c r="G42" s="338"/>
      <c r="H42" s="34"/>
      <c r="I42" s="33"/>
      <c r="J42" s="34"/>
    </row>
    <row r="43" spans="2:12" s="26" customFormat="1" ht="13.5">
      <c r="B43" s="41"/>
      <c r="C43" s="42"/>
      <c r="D43" s="42"/>
      <c r="E43" s="349"/>
      <c r="F43" s="350"/>
      <c r="G43" s="349"/>
      <c r="H43" s="43"/>
      <c r="I43" s="195"/>
      <c r="J43" s="44"/>
      <c r="L43" s="192"/>
    </row>
    <row r="44" spans="2:10" ht="13.5">
      <c r="B44" s="17" t="s">
        <v>0</v>
      </c>
      <c r="C44" s="12"/>
      <c r="D44" s="12"/>
      <c r="E44" s="338">
        <f>+E46</f>
        <v>198884000</v>
      </c>
      <c r="F44" s="351">
        <f>+E44/E$75</f>
        <v>0.7662263111460416</v>
      </c>
      <c r="G44" s="338">
        <f>+G46</f>
        <v>198001000</v>
      </c>
      <c r="H44" s="45">
        <f>+G44/G$75</f>
        <v>0.6766951469583049</v>
      </c>
      <c r="I44" s="33">
        <f>+I46</f>
        <v>883000</v>
      </c>
      <c r="J44" s="46">
        <f>+I44/I$75</f>
        <v>-0.026727608439022915</v>
      </c>
    </row>
    <row r="45" spans="2:12" ht="13.5">
      <c r="B45" s="11"/>
      <c r="C45" s="12"/>
      <c r="D45" s="12"/>
      <c r="E45" s="342"/>
      <c r="F45" s="314"/>
      <c r="G45" s="342"/>
      <c r="H45" s="13"/>
      <c r="I45" s="193"/>
      <c r="J45" s="47"/>
      <c r="L45" s="6"/>
    </row>
    <row r="46" spans="2:10" ht="13.5">
      <c r="B46" s="17" t="s">
        <v>43</v>
      </c>
      <c r="C46" s="12"/>
      <c r="D46" s="12"/>
      <c r="E46" s="338">
        <f>+E48+E57+E60</f>
        <v>198884000</v>
      </c>
      <c r="F46" s="351">
        <f>+E46/E$75</f>
        <v>0.7662263111460416</v>
      </c>
      <c r="G46" s="338">
        <f>+G48+G57+G60</f>
        <v>198001000</v>
      </c>
      <c r="H46" s="21"/>
      <c r="I46" s="33">
        <f>+I48+I57+I60</f>
        <v>883000</v>
      </c>
      <c r="J46" s="46">
        <f>+I46/I$75</f>
        <v>-0.026727608439022915</v>
      </c>
    </row>
    <row r="47" spans="2:10" s="30" customFormat="1" ht="18" customHeight="1">
      <c r="B47" s="11"/>
      <c r="C47" s="12"/>
      <c r="D47" s="12"/>
      <c r="E47" s="342"/>
      <c r="F47" s="314"/>
      <c r="G47" s="342"/>
      <c r="H47" s="13"/>
      <c r="I47" s="193"/>
      <c r="J47" s="47"/>
    </row>
    <row r="48" spans="2:10" s="30" customFormat="1" ht="18" customHeight="1">
      <c r="B48" s="23" t="s">
        <v>41</v>
      </c>
      <c r="C48" s="12"/>
      <c r="D48" s="12"/>
      <c r="E48" s="338">
        <f>SUM(E49:E55)</f>
        <v>189109000</v>
      </c>
      <c r="F48" s="351">
        <f>+E48/E$75</f>
        <v>0.7285668604539167</v>
      </c>
      <c r="G48" s="338">
        <f>SUM(G49:G55)</f>
        <v>191571000</v>
      </c>
      <c r="H48" s="45">
        <f>+G48/G$75</f>
        <v>0.6547197539302803</v>
      </c>
      <c r="I48" s="33">
        <f>SUM(I49:I55)</f>
        <v>-2462000</v>
      </c>
      <c r="J48" s="46">
        <f>+I48/I$75</f>
        <v>0.07452250507007295</v>
      </c>
    </row>
    <row r="49" spans="2:12" s="30" customFormat="1" ht="18" customHeight="1">
      <c r="B49" s="11" t="s">
        <v>157</v>
      </c>
      <c r="C49" s="12"/>
      <c r="D49" s="12" t="s">
        <v>324</v>
      </c>
      <c r="E49" s="340">
        <v>151389000</v>
      </c>
      <c r="F49" s="351"/>
      <c r="G49" s="340">
        <v>145468000</v>
      </c>
      <c r="H49" s="13"/>
      <c r="I49" s="193">
        <f aca="true" t="shared" si="2" ref="I49:I55">+E49-G49</f>
        <v>5921000</v>
      </c>
      <c r="J49" s="47"/>
      <c r="L49" s="373"/>
    </row>
    <row r="50" spans="2:12" s="30" customFormat="1" ht="18" customHeight="1">
      <c r="B50" s="11" t="s">
        <v>158</v>
      </c>
      <c r="C50" s="12"/>
      <c r="D50" s="12" t="s">
        <v>325</v>
      </c>
      <c r="E50" s="340">
        <v>1394000</v>
      </c>
      <c r="F50" s="351"/>
      <c r="G50" s="340">
        <v>1299000</v>
      </c>
      <c r="H50" s="13"/>
      <c r="I50" s="193">
        <f t="shared" si="2"/>
        <v>95000</v>
      </c>
      <c r="J50" s="47"/>
      <c r="L50" s="367"/>
    </row>
    <row r="51" spans="2:10" s="30" customFormat="1" ht="18" customHeight="1">
      <c r="B51" s="11" t="s">
        <v>275</v>
      </c>
      <c r="C51" s="155"/>
      <c r="D51" s="12" t="s">
        <v>325</v>
      </c>
      <c r="E51" s="340">
        <v>20000000</v>
      </c>
      <c r="F51" s="352"/>
      <c r="G51" s="340">
        <v>20000000</v>
      </c>
      <c r="H51" s="306"/>
      <c r="I51" s="226">
        <f>+E51-G51</f>
        <v>0</v>
      </c>
      <c r="J51" s="47"/>
    </row>
    <row r="52" spans="2:10" s="30" customFormat="1" ht="18" customHeight="1">
      <c r="B52" s="11" t="s">
        <v>26</v>
      </c>
      <c r="C52" s="12"/>
      <c r="D52" s="12" t="s">
        <v>325</v>
      </c>
      <c r="E52" s="340">
        <f>198884000-193986000</f>
        <v>4898000</v>
      </c>
      <c r="F52" s="314"/>
      <c r="G52" s="340">
        <v>13729000</v>
      </c>
      <c r="H52" s="13"/>
      <c r="I52" s="193">
        <f t="shared" si="2"/>
        <v>-8831000</v>
      </c>
      <c r="J52" s="47"/>
    </row>
    <row r="53" spans="2:10" s="30" customFormat="1" ht="18" customHeight="1">
      <c r="B53" s="11" t="s">
        <v>6</v>
      </c>
      <c r="C53" s="12"/>
      <c r="D53" s="12" t="s">
        <v>325</v>
      </c>
      <c r="E53" s="340">
        <v>12000</v>
      </c>
      <c r="F53" s="351"/>
      <c r="G53" s="340">
        <v>5000</v>
      </c>
      <c r="H53" s="45"/>
      <c r="I53" s="193">
        <f t="shared" si="2"/>
        <v>7000</v>
      </c>
      <c r="J53" s="47"/>
    </row>
    <row r="54" spans="2:10" s="30" customFormat="1" ht="18" customHeight="1">
      <c r="B54" s="11" t="s">
        <v>169</v>
      </c>
      <c r="C54" s="12"/>
      <c r="D54" s="12"/>
      <c r="E54" s="340">
        <v>0</v>
      </c>
      <c r="F54" s="351"/>
      <c r="G54" s="340">
        <v>837000</v>
      </c>
      <c r="H54" s="45"/>
      <c r="I54" s="193">
        <f t="shared" si="2"/>
        <v>-837000</v>
      </c>
      <c r="J54" s="47"/>
    </row>
    <row r="55" spans="2:10" s="26" customFormat="1" ht="18" customHeight="1">
      <c r="B55" s="11" t="s">
        <v>159</v>
      </c>
      <c r="C55" s="12"/>
      <c r="D55" s="12" t="s">
        <v>326</v>
      </c>
      <c r="E55" s="340">
        <v>11416000</v>
      </c>
      <c r="F55" s="351"/>
      <c r="G55" s="340">
        <v>10233000</v>
      </c>
      <c r="H55" s="45"/>
      <c r="I55" s="193">
        <f t="shared" si="2"/>
        <v>1183000</v>
      </c>
      <c r="J55" s="47"/>
    </row>
    <row r="56" spans="2:10" s="26" customFormat="1" ht="18" customHeight="1">
      <c r="B56" s="11"/>
      <c r="C56" s="12"/>
      <c r="D56" s="12"/>
      <c r="E56" s="342"/>
      <c r="F56" s="314"/>
      <c r="G56" s="342"/>
      <c r="H56" s="13"/>
      <c r="I56" s="193"/>
      <c r="J56" s="47"/>
    </row>
    <row r="57" spans="2:10" ht="18" customHeight="1">
      <c r="B57" s="23" t="s">
        <v>167</v>
      </c>
      <c r="C57" s="12"/>
      <c r="D57" s="12"/>
      <c r="E57" s="338">
        <f>+SUM(E58:E58)</f>
        <v>5510000</v>
      </c>
      <c r="F57" s="351">
        <f>+E57/E$75</f>
        <v>0.021227987039755283</v>
      </c>
      <c r="G57" s="338">
        <f>+SUM(G58:G58)</f>
        <v>4520000</v>
      </c>
      <c r="H57" s="45">
        <f>+G57/G$75</f>
        <v>0.01544771018455229</v>
      </c>
      <c r="I57" s="33">
        <f>+SUM(I58:I58)</f>
        <v>990000</v>
      </c>
      <c r="J57" s="46">
        <f>+I57/I$75</f>
        <v>-0.029966401307624783</v>
      </c>
    </row>
    <row r="58" spans="2:10" s="30" customFormat="1" ht="18" customHeight="1">
      <c r="B58" s="11" t="s">
        <v>168</v>
      </c>
      <c r="C58" s="12"/>
      <c r="D58" s="12" t="s">
        <v>327</v>
      </c>
      <c r="E58" s="342">
        <v>5510000</v>
      </c>
      <c r="F58" s="351"/>
      <c r="G58" s="342">
        <v>4520000</v>
      </c>
      <c r="H58" s="45"/>
      <c r="I58" s="193">
        <f>+E58-G58</f>
        <v>990000</v>
      </c>
      <c r="J58" s="46"/>
    </row>
    <row r="59" spans="2:10" ht="18" customHeight="1">
      <c r="B59" s="11"/>
      <c r="C59" s="12"/>
      <c r="D59" s="12"/>
      <c r="E59" s="342"/>
      <c r="F59" s="314"/>
      <c r="G59" s="342"/>
      <c r="H59" s="13"/>
      <c r="I59" s="193"/>
      <c r="J59" s="47"/>
    </row>
    <row r="60" spans="2:10" ht="18" customHeight="1">
      <c r="B60" s="23" t="s">
        <v>42</v>
      </c>
      <c r="C60" s="12"/>
      <c r="D60" s="12"/>
      <c r="E60" s="338">
        <f>SUM(E61:E61)</f>
        <v>4265000</v>
      </c>
      <c r="F60" s="351">
        <f>+E60/E$75</f>
        <v>0.016431463652369558</v>
      </c>
      <c r="G60" s="338">
        <f>SUM(G61:G61)</f>
        <v>1910000</v>
      </c>
      <c r="H60" s="45">
        <f>+G60/G$75</f>
        <v>0.006527682843472317</v>
      </c>
      <c r="I60" s="33">
        <f>SUM(I61:I61)</f>
        <v>2355000</v>
      </c>
      <c r="J60" s="46">
        <f>+I60/I$75</f>
        <v>-0.07128371220147108</v>
      </c>
    </row>
    <row r="61" spans="2:10" s="26" customFormat="1" ht="18" customHeight="1">
      <c r="B61" s="11" t="s">
        <v>299</v>
      </c>
      <c r="C61" s="12"/>
      <c r="D61" s="12" t="s">
        <v>325</v>
      </c>
      <c r="E61" s="340">
        <v>4265000</v>
      </c>
      <c r="F61" s="314"/>
      <c r="G61" s="342">
        <v>1910000</v>
      </c>
      <c r="H61" s="13"/>
      <c r="I61" s="193">
        <f>+E61-G61</f>
        <v>2355000</v>
      </c>
      <c r="J61" s="47"/>
    </row>
    <row r="62" spans="2:10" s="26" customFormat="1" ht="18" customHeight="1">
      <c r="B62" s="11"/>
      <c r="C62" s="12"/>
      <c r="D62" s="12"/>
      <c r="E62" s="342"/>
      <c r="F62" s="314"/>
      <c r="G62" s="342"/>
      <c r="H62" s="13"/>
      <c r="I62" s="193"/>
      <c r="J62" s="47"/>
    </row>
    <row r="63" spans="2:10" s="26" customFormat="1" ht="18" customHeight="1">
      <c r="B63" s="17" t="s">
        <v>1</v>
      </c>
      <c r="C63" s="12"/>
      <c r="D63" s="12"/>
      <c r="E63" s="338">
        <f>+SUM(E65:E73)</f>
        <v>60679000</v>
      </c>
      <c r="F63" s="351">
        <f>+E63/E$75</f>
        <v>0.23377368885395838</v>
      </c>
      <c r="G63" s="338">
        <f>+SUM(G65:G73)</f>
        <v>94599000</v>
      </c>
      <c r="H63" s="45">
        <f>+G63/G$75</f>
        <v>0.32330485304169515</v>
      </c>
      <c r="I63" s="33">
        <f>+I65+I67+I71+I73+I69</f>
        <v>-33920000</v>
      </c>
      <c r="J63" s="46">
        <f>+I63/I$75</f>
        <v>1.0267276084390229</v>
      </c>
    </row>
    <row r="64" spans="2:10" ht="18" customHeight="1">
      <c r="B64" s="17"/>
      <c r="C64" s="12"/>
      <c r="D64" s="12"/>
      <c r="E64" s="338"/>
      <c r="F64" s="339"/>
      <c r="G64" s="338"/>
      <c r="H64" s="21"/>
      <c r="I64" s="33"/>
      <c r="J64" s="22"/>
    </row>
    <row r="65" spans="2:10" s="26" customFormat="1" ht="18" customHeight="1">
      <c r="B65" s="23" t="s">
        <v>261</v>
      </c>
      <c r="C65" s="12"/>
      <c r="D65" s="12" t="s">
        <v>328</v>
      </c>
      <c r="E65" s="338">
        <v>23272000</v>
      </c>
      <c r="F65" s="351">
        <f>+E65/E$75</f>
        <v>0.08965838736645824</v>
      </c>
      <c r="G65" s="338">
        <v>21717000</v>
      </c>
      <c r="H65" s="45">
        <f>+G65/G$75</f>
        <v>0.07422077922077921</v>
      </c>
      <c r="I65" s="33">
        <f>+E65-G65</f>
        <v>1555000</v>
      </c>
      <c r="J65" s="46">
        <f>+I65/I$75</f>
        <v>-0.04706843841753186</v>
      </c>
    </row>
    <row r="66" spans="2:10" ht="18" customHeight="1">
      <c r="B66" s="11"/>
      <c r="C66" s="12"/>
      <c r="D66" s="12"/>
      <c r="E66" s="342"/>
      <c r="F66" s="314"/>
      <c r="G66" s="342"/>
      <c r="H66" s="13"/>
      <c r="I66" s="193"/>
      <c r="J66" s="47"/>
    </row>
    <row r="67" spans="2:10" ht="18" customHeight="1">
      <c r="B67" s="23" t="s">
        <v>262</v>
      </c>
      <c r="C67" s="12"/>
      <c r="D67" s="12" t="s">
        <v>329</v>
      </c>
      <c r="E67" s="338">
        <v>14110000</v>
      </c>
      <c r="F67" s="351">
        <f>+E67/E$75</f>
        <v>0.05436059839037151</v>
      </c>
      <c r="G67" s="338">
        <v>12525000</v>
      </c>
      <c r="H67" s="45">
        <f>+G67/G$75</f>
        <v>0.042805878332194125</v>
      </c>
      <c r="I67" s="33">
        <f>+E67-G67</f>
        <v>1585000</v>
      </c>
      <c r="J67" s="46">
        <f>+I67/I$75</f>
        <v>-0.04797651118442958</v>
      </c>
    </row>
    <row r="68" spans="2:10" ht="18" customHeight="1">
      <c r="B68" s="11"/>
      <c r="C68" s="12"/>
      <c r="D68" s="12"/>
      <c r="E68" s="342"/>
      <c r="F68" s="314"/>
      <c r="G68" s="342"/>
      <c r="H68" s="13"/>
      <c r="I68" s="193"/>
      <c r="J68" s="47"/>
    </row>
    <row r="69" spans="2:10" ht="18" customHeight="1">
      <c r="B69" s="23" t="s">
        <v>150</v>
      </c>
      <c r="C69" s="12"/>
      <c r="D69" s="12" t="s">
        <v>330</v>
      </c>
      <c r="E69" s="338">
        <v>48888000</v>
      </c>
      <c r="F69" s="351">
        <f>+E69/E$75</f>
        <v>0.18834733764057282</v>
      </c>
      <c r="G69" s="338">
        <v>48888000</v>
      </c>
      <c r="H69" s="45">
        <f>+G69/G$75</f>
        <v>0.16708133971291866</v>
      </c>
      <c r="I69" s="33">
        <f>+E69-G69</f>
        <v>0</v>
      </c>
      <c r="J69" s="46">
        <f>+I69/I$75</f>
        <v>0</v>
      </c>
    </row>
    <row r="70" spans="2:10" ht="18" customHeight="1">
      <c r="B70" s="11"/>
      <c r="C70" s="12"/>
      <c r="D70" s="12"/>
      <c r="E70" s="342"/>
      <c r="F70" s="314"/>
      <c r="G70" s="342"/>
      <c r="H70" s="13"/>
      <c r="I70" s="193"/>
      <c r="J70" s="47"/>
    </row>
    <row r="71" spans="2:10" s="26" customFormat="1" ht="18" customHeight="1">
      <c r="B71" s="11" t="s">
        <v>170</v>
      </c>
      <c r="C71" s="12"/>
      <c r="D71" s="12"/>
      <c r="E71" s="338">
        <v>6941000</v>
      </c>
      <c r="F71" s="351">
        <f>+E71/E$75</f>
        <v>0.026741099463328748</v>
      </c>
      <c r="G71" s="338">
        <v>6941000</v>
      </c>
      <c r="H71" s="45">
        <f>+G71/G$75</f>
        <v>0.023721804511278196</v>
      </c>
      <c r="I71" s="33">
        <f>+E71-G71</f>
        <v>0</v>
      </c>
      <c r="J71" s="46">
        <f>+I71/I$75</f>
        <v>0</v>
      </c>
    </row>
    <row r="72" spans="2:10" ht="18" customHeight="1">
      <c r="B72" s="11"/>
      <c r="C72" s="12"/>
      <c r="D72" s="12"/>
      <c r="E72" s="342"/>
      <c r="F72" s="314"/>
      <c r="G72" s="342"/>
      <c r="H72" s="13"/>
      <c r="I72" s="193"/>
      <c r="J72" s="47"/>
    </row>
    <row r="73" spans="2:10" s="26" customFormat="1" ht="21.75" customHeight="1">
      <c r="B73" s="23" t="s">
        <v>13</v>
      </c>
      <c r="C73" s="12"/>
      <c r="D73" s="12" t="s">
        <v>333</v>
      </c>
      <c r="E73" s="338">
        <f>+Estado_Resultados_2023!D34</f>
        <v>-32532000</v>
      </c>
      <c r="F73" s="351">
        <f>+E73/E$75</f>
        <v>-0.12533373400677292</v>
      </c>
      <c r="G73" s="338">
        <v>4528000</v>
      </c>
      <c r="H73" s="45">
        <f>+G73/G$75</f>
        <v>0.015475051264524949</v>
      </c>
      <c r="I73" s="33">
        <f>+E73-G73</f>
        <v>-37060000</v>
      </c>
      <c r="J73" s="46">
        <f>+I73/I$75</f>
        <v>1.1217725580409843</v>
      </c>
    </row>
    <row r="74" spans="2:10" s="26" customFormat="1" ht="21.75" customHeight="1" thickBot="1">
      <c r="B74" s="11"/>
      <c r="C74" s="12"/>
      <c r="D74" s="12"/>
      <c r="E74" s="342"/>
      <c r="F74" s="339"/>
      <c r="G74" s="342"/>
      <c r="H74" s="21"/>
      <c r="I74" s="193"/>
      <c r="J74" s="22"/>
    </row>
    <row r="75" spans="2:10" s="26" customFormat="1" ht="21.75" customHeight="1" thickBot="1" thickTop="1">
      <c r="B75" s="50" t="s">
        <v>3</v>
      </c>
      <c r="C75" s="12"/>
      <c r="D75" s="12"/>
      <c r="E75" s="353">
        <f aca="true" t="shared" si="3" ref="E75:J75">+E44+E63</f>
        <v>259563000</v>
      </c>
      <c r="F75" s="354">
        <f t="shared" si="3"/>
        <v>1</v>
      </c>
      <c r="G75" s="353">
        <f t="shared" si="3"/>
        <v>292600000</v>
      </c>
      <c r="H75" s="48">
        <f t="shared" si="3"/>
        <v>1</v>
      </c>
      <c r="I75" s="196">
        <f t="shared" si="3"/>
        <v>-33037000</v>
      </c>
      <c r="J75" s="49">
        <f t="shared" si="3"/>
        <v>1</v>
      </c>
    </row>
    <row r="76" spans="2:10" s="26" customFormat="1" ht="21.75" customHeight="1" thickTop="1">
      <c r="B76" s="50"/>
      <c r="C76" s="12"/>
      <c r="D76" s="12"/>
      <c r="E76" s="12"/>
      <c r="F76" s="12"/>
      <c r="G76" s="12"/>
      <c r="H76" s="12"/>
      <c r="I76" s="33"/>
      <c r="J76" s="35"/>
    </row>
    <row r="77" spans="2:10" s="26" customFormat="1" ht="21.75" customHeight="1">
      <c r="B77" s="50"/>
      <c r="C77" s="12"/>
      <c r="D77" s="12"/>
      <c r="E77" s="12"/>
      <c r="F77" s="12"/>
      <c r="G77" s="12"/>
      <c r="H77" s="12"/>
      <c r="I77" s="33"/>
      <c r="J77" s="35"/>
    </row>
    <row r="78" spans="2:10" s="26" customFormat="1" ht="21.75" customHeight="1">
      <c r="B78" s="50"/>
      <c r="C78" s="12"/>
      <c r="D78" s="12"/>
      <c r="E78" s="12"/>
      <c r="F78" s="12"/>
      <c r="G78" s="12"/>
      <c r="H78" s="12"/>
      <c r="I78" s="33"/>
      <c r="J78" s="35"/>
    </row>
    <row r="79" spans="2:10" s="26" customFormat="1" ht="21.75" customHeight="1">
      <c r="B79" s="50"/>
      <c r="C79" s="12"/>
      <c r="D79" s="12"/>
      <c r="E79" s="12"/>
      <c r="F79" s="12"/>
      <c r="G79" s="12"/>
      <c r="H79" s="12"/>
      <c r="I79" s="33"/>
      <c r="J79" s="35"/>
    </row>
    <row r="80" spans="2:10" ht="13.5">
      <c r="B80" s="50"/>
      <c r="C80" s="12"/>
      <c r="D80" s="12"/>
      <c r="E80" s="12"/>
      <c r="F80" s="12"/>
      <c r="G80" s="12"/>
      <c r="H80" s="12"/>
      <c r="I80" s="33"/>
      <c r="J80" s="35"/>
    </row>
    <row r="81" spans="2:10" ht="13.5">
      <c r="B81" s="50"/>
      <c r="C81" s="12"/>
      <c r="D81" s="12"/>
      <c r="E81" s="12"/>
      <c r="F81" s="12"/>
      <c r="G81" s="12"/>
      <c r="H81" s="12"/>
      <c r="I81" s="33"/>
      <c r="J81" s="35"/>
    </row>
    <row r="82" spans="2:10" ht="13.5">
      <c r="B82" s="50"/>
      <c r="C82" s="12"/>
      <c r="D82" s="12"/>
      <c r="E82" s="12"/>
      <c r="F82" s="12"/>
      <c r="G82" s="12"/>
      <c r="H82" s="12"/>
      <c r="I82" s="197"/>
      <c r="J82" s="51"/>
    </row>
    <row r="83" spans="2:10" ht="13.5">
      <c r="B83" s="50"/>
      <c r="C83" s="12"/>
      <c r="D83" s="12"/>
      <c r="E83" s="12"/>
      <c r="F83" s="12"/>
      <c r="G83" s="12"/>
      <c r="H83" s="12"/>
      <c r="I83" s="197"/>
      <c r="J83" s="51"/>
    </row>
    <row r="84" spans="2:10" ht="13.5">
      <c r="B84" s="50"/>
      <c r="C84" s="12"/>
      <c r="D84" s="12"/>
      <c r="E84" s="12"/>
      <c r="F84" s="12"/>
      <c r="G84" s="12"/>
      <c r="H84" s="12"/>
      <c r="I84" s="197"/>
      <c r="J84" s="51"/>
    </row>
    <row r="85" spans="2:10" ht="13.5">
      <c r="B85" s="52"/>
      <c r="C85" s="12"/>
      <c r="D85" s="12"/>
      <c r="E85" s="12"/>
      <c r="F85" s="12"/>
      <c r="G85" s="12"/>
      <c r="H85" s="12"/>
      <c r="I85" s="197"/>
      <c r="J85" s="53"/>
    </row>
    <row r="86" spans="2:10" ht="13.5">
      <c r="B86" s="54" t="s">
        <v>257</v>
      </c>
      <c r="C86" s="12"/>
      <c r="D86" s="12"/>
      <c r="E86" s="356" t="s">
        <v>14</v>
      </c>
      <c r="F86" s="357"/>
      <c r="G86" s="355"/>
      <c r="H86" s="198" t="s">
        <v>315</v>
      </c>
      <c r="I86" s="201"/>
      <c r="J86" s="55"/>
    </row>
    <row r="87" spans="2:10" ht="13.5">
      <c r="B87" s="56" t="s">
        <v>160</v>
      </c>
      <c r="C87" s="12"/>
      <c r="D87" s="12"/>
      <c r="E87" s="368" t="s">
        <v>290</v>
      </c>
      <c r="F87" s="12"/>
      <c r="G87" s="12"/>
      <c r="H87" s="368" t="s">
        <v>317</v>
      </c>
      <c r="I87" s="12"/>
      <c r="J87" s="57"/>
    </row>
    <row r="88" spans="2:10" s="4" customFormat="1" ht="13.5">
      <c r="B88" s="58" t="s">
        <v>334</v>
      </c>
      <c r="C88" s="12"/>
      <c r="D88" s="12"/>
      <c r="E88" s="12" t="s">
        <v>162</v>
      </c>
      <c r="F88" s="12"/>
      <c r="G88" s="12"/>
      <c r="H88" s="368" t="s">
        <v>316</v>
      </c>
      <c r="I88" s="12"/>
      <c r="J88" s="59"/>
    </row>
    <row r="89" spans="2:10" s="4" customFormat="1" ht="14.25" thickBot="1">
      <c r="B89" s="60"/>
      <c r="C89" s="61"/>
      <c r="D89" s="61"/>
      <c r="E89" s="358"/>
      <c r="F89" s="359"/>
      <c r="G89" s="358"/>
      <c r="H89" s="62"/>
      <c r="I89" s="199"/>
      <c r="J89" s="63"/>
    </row>
    <row r="90" spans="5:9" s="4" customFormat="1" ht="15.75" customHeight="1">
      <c r="E90" s="360"/>
      <c r="F90" s="361"/>
      <c r="G90" s="360"/>
      <c r="I90" s="6"/>
    </row>
    <row r="91" spans="5:9" s="4" customFormat="1" ht="13.5">
      <c r="E91" s="360"/>
      <c r="F91" s="361"/>
      <c r="G91" s="360"/>
      <c r="I91" s="6"/>
    </row>
    <row r="92" spans="2:9" s="4" customFormat="1" ht="13.5">
      <c r="B92" s="203"/>
      <c r="E92" s="360"/>
      <c r="F92" s="361"/>
      <c r="G92" s="360"/>
      <c r="I92" s="6"/>
    </row>
    <row r="93" spans="5:9" s="4" customFormat="1" ht="13.5">
      <c r="E93" s="360"/>
      <c r="F93" s="361"/>
      <c r="G93" s="360"/>
      <c r="I93" s="6"/>
    </row>
    <row r="94" spans="2:11" ht="13.5">
      <c r="B94" s="4"/>
      <c r="C94" s="4"/>
      <c r="D94" s="4"/>
      <c r="F94" s="361"/>
      <c r="H94" s="4"/>
      <c r="J94" s="4"/>
      <c r="K94" s="2"/>
    </row>
    <row r="95" spans="2:11" ht="13.5">
      <c r="B95" s="4"/>
      <c r="C95" s="4"/>
      <c r="D95" s="4"/>
      <c r="F95" s="361"/>
      <c r="H95" s="4"/>
      <c r="J95" s="4"/>
      <c r="K95" s="2"/>
    </row>
    <row r="96" spans="6:11" ht="13.5">
      <c r="F96" s="362"/>
      <c r="H96" s="2"/>
      <c r="J96" s="2"/>
      <c r="K96" s="2"/>
    </row>
    <row r="97" spans="6:11" ht="13.5">
      <c r="F97" s="362"/>
      <c r="H97" s="2"/>
      <c r="J97" s="2"/>
      <c r="K97" s="2"/>
    </row>
    <row r="98" spans="6:10" ht="13.5">
      <c r="F98" s="362"/>
      <c r="H98" s="2"/>
      <c r="J98" s="2"/>
    </row>
    <row r="99" spans="6:10" ht="13.5">
      <c r="F99" s="362"/>
      <c r="H99" s="2"/>
      <c r="J99" s="2"/>
    </row>
  </sheetData>
  <sheetProtection/>
  <mergeCells count="10">
    <mergeCell ref="B39:J39"/>
    <mergeCell ref="B40:J40"/>
    <mergeCell ref="B41:J41"/>
    <mergeCell ref="B1:J1"/>
    <mergeCell ref="B38:J38"/>
    <mergeCell ref="B2:J2"/>
    <mergeCell ref="B3:J3"/>
    <mergeCell ref="B4:J4"/>
    <mergeCell ref="B5:J5"/>
    <mergeCell ref="B22:C22"/>
  </mergeCells>
  <printOptions horizontalCentered="1" verticalCentered="1"/>
  <pageMargins left="0" right="0" top="0.03937007874015748" bottom="0.6299212598425197" header="0.35433070866141736" footer="0.5118110236220472"/>
  <pageSetup horizontalDpi="300" verticalDpi="300" orientation="portrait" scale="65" r:id="rId2"/>
  <headerFooter alignWithMargins="0">
    <oddHeader>&amp;C
</oddHeader>
  </headerFooter>
  <ignoredErrors>
    <ignoredError sqref="H63 F63 I72 I68 I66 I6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="70" zoomScaleNormal="70" zoomScalePageLayoutView="0" workbookViewId="0" topLeftCell="A1">
      <selection activeCell="I34" sqref="I34"/>
    </sheetView>
  </sheetViews>
  <sheetFormatPr defaultColWidth="12.57421875" defaultRowHeight="12.75"/>
  <cols>
    <col min="1" max="1" width="0.13671875" style="68" customWidth="1"/>
    <col min="2" max="2" width="40.28125" style="68" customWidth="1"/>
    <col min="3" max="3" width="12.28125" style="119" customWidth="1"/>
    <col min="4" max="4" width="20.57421875" style="336" customWidth="1"/>
    <col min="5" max="5" width="7.00390625" style="336" customWidth="1"/>
    <col min="6" max="6" width="15.7109375" style="336" customWidth="1"/>
    <col min="7" max="7" width="3.00390625" style="121" customWidth="1"/>
    <col min="8" max="8" width="15.7109375" style="121" customWidth="1"/>
    <col min="9" max="9" width="12.00390625" style="120" bestFit="1" customWidth="1"/>
    <col min="10" max="10" width="13.8515625" style="68" bestFit="1" customWidth="1"/>
    <col min="11" max="11" width="17.7109375" style="68" customWidth="1"/>
    <col min="12" max="16384" width="12.57421875" style="68" customWidth="1"/>
  </cols>
  <sheetData>
    <row r="1" spans="1:9" s="65" customFormat="1" ht="19.5" customHeight="1">
      <c r="A1" s="64"/>
      <c r="B1" s="381" t="s">
        <v>292</v>
      </c>
      <c r="C1" s="381"/>
      <c r="D1" s="381"/>
      <c r="E1" s="381"/>
      <c r="F1" s="381"/>
      <c r="G1" s="381"/>
      <c r="H1" s="381"/>
      <c r="I1" s="381"/>
    </row>
    <row r="2" spans="1:11" s="65" customFormat="1" ht="15.75">
      <c r="A2" s="64"/>
      <c r="B2" s="379" t="str">
        <f>+'ESF 2023'!B2</f>
        <v>N.I.T.  900.384,918-8</v>
      </c>
      <c r="C2" s="379"/>
      <c r="D2" s="379"/>
      <c r="E2" s="379"/>
      <c r="F2" s="379"/>
      <c r="G2" s="379"/>
      <c r="H2" s="379"/>
      <c r="I2" s="379"/>
      <c r="K2" s="66"/>
    </row>
    <row r="3" spans="1:11" ht="15">
      <c r="A3" s="67"/>
      <c r="B3" s="383" t="s">
        <v>294</v>
      </c>
      <c r="C3" s="383"/>
      <c r="D3" s="383"/>
      <c r="E3" s="383"/>
      <c r="F3" s="383"/>
      <c r="G3" s="383"/>
      <c r="H3" s="383"/>
      <c r="I3" s="383"/>
      <c r="K3" s="69"/>
    </row>
    <row r="4" spans="1:11" ht="15">
      <c r="A4" s="67"/>
      <c r="B4" s="383" t="str">
        <f>+'ESF 2023'!B4</f>
        <v>GRUPO II - NIIF</v>
      </c>
      <c r="C4" s="383"/>
      <c r="D4" s="383"/>
      <c r="E4" s="383"/>
      <c r="F4" s="383"/>
      <c r="G4" s="383"/>
      <c r="H4" s="383"/>
      <c r="I4" s="383"/>
      <c r="K4" s="69"/>
    </row>
    <row r="5" spans="1:11" ht="21" thickBot="1">
      <c r="A5" s="67"/>
      <c r="B5" s="152"/>
      <c r="C5" s="152"/>
      <c r="D5" s="310"/>
      <c r="E5" s="310"/>
      <c r="F5" s="310"/>
      <c r="G5" s="152"/>
      <c r="H5" s="152"/>
      <c r="I5" s="152"/>
      <c r="K5" s="69"/>
    </row>
    <row r="6" spans="1:11" s="5" customFormat="1" ht="13.5" customHeight="1">
      <c r="A6" s="70"/>
      <c r="B6" s="71"/>
      <c r="C6" s="42" t="s">
        <v>318</v>
      </c>
      <c r="D6" s="311">
        <v>2023</v>
      </c>
      <c r="E6" s="312"/>
      <c r="F6" s="311">
        <v>2022</v>
      </c>
      <c r="G6" s="72"/>
      <c r="H6" s="72"/>
      <c r="I6" s="73"/>
      <c r="K6" s="69"/>
    </row>
    <row r="7" spans="1:9" s="5" customFormat="1" ht="18" customHeight="1">
      <c r="A7" s="70"/>
      <c r="B7" s="58"/>
      <c r="C7" s="12"/>
      <c r="D7" s="313" t="s">
        <v>5</v>
      </c>
      <c r="E7" s="314"/>
      <c r="F7" s="313" t="s">
        <v>5</v>
      </c>
      <c r="G7" s="14"/>
      <c r="H7" s="313" t="s">
        <v>8</v>
      </c>
      <c r="I7" s="364" t="s">
        <v>7</v>
      </c>
    </row>
    <row r="8" spans="1:9" s="5" customFormat="1" ht="18" customHeight="1">
      <c r="A8" s="70"/>
      <c r="B8" s="58"/>
      <c r="C8" s="18"/>
      <c r="D8" s="315">
        <f>+D10+D15-D19-D27</f>
        <v>-32532000</v>
      </c>
      <c r="E8" s="316"/>
      <c r="F8" s="315">
        <f>+F10+F15-F19-F27</f>
        <v>4528000</v>
      </c>
      <c r="G8" s="19"/>
      <c r="H8" s="315" t="s">
        <v>11</v>
      </c>
      <c r="I8" s="20"/>
    </row>
    <row r="9" spans="1:9" s="5" customFormat="1" ht="18" customHeight="1">
      <c r="A9" s="70"/>
      <c r="B9" s="58"/>
      <c r="C9" s="12"/>
      <c r="D9" s="317"/>
      <c r="E9" s="318"/>
      <c r="F9" s="317"/>
      <c r="G9" s="74"/>
      <c r="H9" s="74"/>
      <c r="I9" s="76"/>
    </row>
    <row r="10" spans="1:10" s="82" customFormat="1" ht="18" customHeight="1">
      <c r="A10" s="77"/>
      <c r="B10" s="54" t="s">
        <v>44</v>
      </c>
      <c r="C10" s="78" t="s">
        <v>331</v>
      </c>
      <c r="D10" s="319">
        <f>SUM(D11:D13)</f>
        <v>117352000</v>
      </c>
      <c r="E10" s="320"/>
      <c r="F10" s="319">
        <f>SUM(F11:F13)</f>
        <v>113359000</v>
      </c>
      <c r="G10" s="86"/>
      <c r="H10" s="319">
        <f>SUM(H11:H13)</f>
        <v>3993000</v>
      </c>
      <c r="I10" s="81">
        <f>+D10/$D$10</f>
        <v>1</v>
      </c>
      <c r="J10" s="5"/>
    </row>
    <row r="11" spans="1:10" s="88" customFormat="1" ht="16.5" customHeight="1">
      <c r="A11" s="83"/>
      <c r="B11" s="84" t="s">
        <v>163</v>
      </c>
      <c r="C11" s="78"/>
      <c r="D11" s="323">
        <v>20358000</v>
      </c>
      <c r="E11" s="321"/>
      <c r="F11" s="323">
        <v>32872000</v>
      </c>
      <c r="G11" s="86"/>
      <c r="H11" s="85">
        <f>+D11-F11</f>
        <v>-12514000</v>
      </c>
      <c r="I11" s="87">
        <f>+D11/$D$10</f>
        <v>0.17347808303224488</v>
      </c>
      <c r="J11" s="5"/>
    </row>
    <row r="12" spans="1:10" s="88" customFormat="1" ht="16.5" customHeight="1">
      <c r="A12" s="83"/>
      <c r="B12" s="202" t="s">
        <v>276</v>
      </c>
      <c r="C12" s="78"/>
      <c r="D12" s="323">
        <v>82364000</v>
      </c>
      <c r="E12" s="321"/>
      <c r="F12" s="323">
        <v>45933000</v>
      </c>
      <c r="G12" s="86"/>
      <c r="H12" s="85">
        <f>+D12-F12</f>
        <v>36431000</v>
      </c>
      <c r="I12" s="87">
        <f>+D12/$D$10</f>
        <v>0.701854250460154</v>
      </c>
      <c r="J12" s="89"/>
    </row>
    <row r="13" spans="1:10" s="88" customFormat="1" ht="16.5" customHeight="1">
      <c r="A13" s="83"/>
      <c r="B13" s="202" t="s">
        <v>164</v>
      </c>
      <c r="C13" s="78"/>
      <c r="D13" s="323">
        <v>14630000</v>
      </c>
      <c r="E13" s="321"/>
      <c r="F13" s="323">
        <v>34554000</v>
      </c>
      <c r="G13" s="86"/>
      <c r="H13" s="85">
        <f>+D13-F13</f>
        <v>-19924000</v>
      </c>
      <c r="I13" s="87">
        <f>+D13/$D$10</f>
        <v>0.12466766650760107</v>
      </c>
      <c r="J13" s="89"/>
    </row>
    <row r="14" spans="1:10" s="88" customFormat="1" ht="16.5" customHeight="1">
      <c r="A14" s="83"/>
      <c r="B14" s="84"/>
      <c r="C14" s="78"/>
      <c r="D14" s="322"/>
      <c r="E14" s="321"/>
      <c r="F14" s="322"/>
      <c r="G14" s="86"/>
      <c r="H14" s="85"/>
      <c r="I14" s="87"/>
      <c r="J14" s="89"/>
    </row>
    <row r="15" spans="1:10" s="88" customFormat="1" ht="16.5" customHeight="1">
      <c r="A15" s="83"/>
      <c r="B15" s="54" t="s">
        <v>45</v>
      </c>
      <c r="C15" s="78" t="s">
        <v>331</v>
      </c>
      <c r="D15" s="319">
        <f>SUM(D16:D17)</f>
        <v>672000</v>
      </c>
      <c r="E15" s="320"/>
      <c r="F15" s="319">
        <f>SUM(F16:F17)</f>
        <v>4311000</v>
      </c>
      <c r="G15" s="86"/>
      <c r="H15" s="79">
        <f>SUM(H16:H17)</f>
        <v>-3639000</v>
      </c>
      <c r="I15" s="81">
        <f>+D15/D10</f>
        <v>0.005726361715181675</v>
      </c>
      <c r="J15" s="89"/>
    </row>
    <row r="16" spans="1:10" s="88" customFormat="1" ht="28.5" customHeight="1">
      <c r="A16" s="83"/>
      <c r="B16" s="309" t="s">
        <v>277</v>
      </c>
      <c r="C16" s="78"/>
      <c r="D16" s="323">
        <v>36000</v>
      </c>
      <c r="E16" s="321"/>
      <c r="F16" s="323">
        <v>111000</v>
      </c>
      <c r="G16" s="86"/>
      <c r="H16" s="85">
        <f>+D16-F16</f>
        <v>-75000</v>
      </c>
      <c r="I16" s="87">
        <f>+D16/$D$10</f>
        <v>0.0003067693775990183</v>
      </c>
      <c r="J16" s="89"/>
    </row>
    <row r="17" spans="1:10" s="88" customFormat="1" ht="16.5" customHeight="1">
      <c r="A17" s="83"/>
      <c r="B17" s="308" t="s">
        <v>298</v>
      </c>
      <c r="C17" s="12"/>
      <c r="D17" s="323">
        <v>636000</v>
      </c>
      <c r="E17" s="321"/>
      <c r="F17" s="323">
        <v>4200000</v>
      </c>
      <c r="G17" s="86"/>
      <c r="H17" s="90">
        <f>+D17-F17</f>
        <v>-3564000</v>
      </c>
      <c r="I17" s="87">
        <f>+D17/$D$10</f>
        <v>0.005419592337582657</v>
      </c>
      <c r="J17" s="89"/>
    </row>
    <row r="18" spans="1:9" s="5" customFormat="1" ht="16.5" customHeight="1">
      <c r="A18" s="70"/>
      <c r="B18" s="84"/>
      <c r="C18" s="78"/>
      <c r="D18" s="323"/>
      <c r="E18" s="324"/>
      <c r="F18" s="323"/>
      <c r="G18" s="86"/>
      <c r="H18" s="90"/>
      <c r="I18" s="91"/>
    </row>
    <row r="19" spans="1:11" s="82" customFormat="1" ht="18" customHeight="1">
      <c r="A19" s="77"/>
      <c r="B19" s="54" t="s">
        <v>46</v>
      </c>
      <c r="C19" s="78"/>
      <c r="D19" s="319">
        <f>SUM(D20:D25)</f>
        <v>150556000</v>
      </c>
      <c r="E19" s="320"/>
      <c r="F19" s="319">
        <f>SUM(F20:F25)</f>
        <v>113142000</v>
      </c>
      <c r="G19" s="86"/>
      <c r="H19" s="319">
        <f>SUM(H20:H25)</f>
        <v>37414000</v>
      </c>
      <c r="I19" s="81">
        <f aca="true" t="shared" si="0" ref="I19:I25">+D19/$D$10</f>
        <v>1.2829436226054947</v>
      </c>
      <c r="J19" s="89"/>
      <c r="K19" s="92"/>
    </row>
    <row r="20" spans="1:11" s="82" customFormat="1" ht="18" customHeight="1">
      <c r="A20" s="77"/>
      <c r="B20" s="308" t="s">
        <v>165</v>
      </c>
      <c r="C20" s="78" t="s">
        <v>332</v>
      </c>
      <c r="D20" s="323">
        <v>56648000</v>
      </c>
      <c r="E20" s="324"/>
      <c r="F20" s="323">
        <v>31446000</v>
      </c>
      <c r="G20" s="86"/>
      <c r="H20" s="85">
        <f aca="true" t="shared" si="1" ref="H20:H25">+D20-F20</f>
        <v>25202000</v>
      </c>
      <c r="I20" s="87">
        <f t="shared" si="0"/>
        <v>0.4827186583952553</v>
      </c>
      <c r="J20" s="89"/>
      <c r="K20" s="92"/>
    </row>
    <row r="21" spans="1:10" s="88" customFormat="1" ht="16.5" customHeight="1">
      <c r="A21" s="83"/>
      <c r="B21" s="308" t="s">
        <v>9</v>
      </c>
      <c r="C21" s="78" t="s">
        <v>332</v>
      </c>
      <c r="D21" s="323">
        <v>55284000</v>
      </c>
      <c r="E21" s="321"/>
      <c r="F21" s="323">
        <v>40355000</v>
      </c>
      <c r="G21" s="86"/>
      <c r="H21" s="85">
        <f t="shared" si="1"/>
        <v>14929000</v>
      </c>
      <c r="I21" s="87">
        <f t="shared" si="0"/>
        <v>0.4710955075328925</v>
      </c>
      <c r="J21" s="89"/>
    </row>
    <row r="22" spans="1:11" s="88" customFormat="1" ht="16.5" customHeight="1">
      <c r="A22" s="83"/>
      <c r="B22" s="308" t="s">
        <v>10</v>
      </c>
      <c r="C22" s="78" t="s">
        <v>332</v>
      </c>
      <c r="D22" s="323">
        <v>25924000</v>
      </c>
      <c r="E22" s="321"/>
      <c r="F22" s="323">
        <v>23668000</v>
      </c>
      <c r="G22" s="86"/>
      <c r="H22" s="85">
        <f t="shared" si="1"/>
        <v>2256000</v>
      </c>
      <c r="I22" s="87">
        <f t="shared" si="0"/>
        <v>0.2209080373576931</v>
      </c>
      <c r="J22" s="89"/>
      <c r="K22" s="293"/>
    </row>
    <row r="23" spans="1:11" s="88" customFormat="1" ht="16.5" customHeight="1">
      <c r="A23" s="83"/>
      <c r="B23" s="308" t="s">
        <v>278</v>
      </c>
      <c r="C23" s="78" t="s">
        <v>332</v>
      </c>
      <c r="D23" s="323">
        <v>6077000</v>
      </c>
      <c r="E23" s="321"/>
      <c r="F23" s="323">
        <v>10610000</v>
      </c>
      <c r="G23" s="86"/>
      <c r="H23" s="85">
        <f t="shared" si="1"/>
        <v>-4533000</v>
      </c>
      <c r="I23" s="87">
        <f t="shared" si="0"/>
        <v>0.05178437521303429</v>
      </c>
      <c r="J23" s="89"/>
      <c r="K23" s="293"/>
    </row>
    <row r="24" spans="1:11" s="88" customFormat="1" ht="16.5" customHeight="1">
      <c r="A24" s="83"/>
      <c r="B24" s="308" t="s">
        <v>279</v>
      </c>
      <c r="C24" s="78" t="s">
        <v>332</v>
      </c>
      <c r="D24" s="323">
        <v>998000</v>
      </c>
      <c r="E24" s="321"/>
      <c r="F24" s="323">
        <v>625000</v>
      </c>
      <c r="G24" s="86"/>
      <c r="H24" s="85">
        <f t="shared" si="1"/>
        <v>373000</v>
      </c>
      <c r="I24" s="87">
        <f t="shared" si="0"/>
        <v>0.008504328856772787</v>
      </c>
      <c r="J24" s="89"/>
      <c r="K24" s="293"/>
    </row>
    <row r="25" spans="1:10" s="88" customFormat="1" ht="16.5" customHeight="1">
      <c r="A25" s="83"/>
      <c r="B25" s="308" t="s">
        <v>280</v>
      </c>
      <c r="C25" s="78" t="s">
        <v>332</v>
      </c>
      <c r="D25" s="323">
        <v>5625000</v>
      </c>
      <c r="E25" s="321"/>
      <c r="F25" s="323">
        <v>6438000</v>
      </c>
      <c r="G25" s="86"/>
      <c r="H25" s="85">
        <f t="shared" si="1"/>
        <v>-813000</v>
      </c>
      <c r="I25" s="87">
        <f t="shared" si="0"/>
        <v>0.047932715249846616</v>
      </c>
      <c r="J25" s="89"/>
    </row>
    <row r="26" spans="1:10" s="88" customFormat="1" ht="16.5" customHeight="1">
      <c r="A26" s="83"/>
      <c r="B26" s="84"/>
      <c r="C26" s="78"/>
      <c r="D26" s="325"/>
      <c r="E26" s="325"/>
      <c r="F26" s="325"/>
      <c r="G26" s="78"/>
      <c r="H26" s="78"/>
      <c r="I26" s="93"/>
      <c r="J26" s="89"/>
    </row>
    <row r="27" spans="1:10" s="88" customFormat="1" ht="16.5" customHeight="1">
      <c r="A27" s="83"/>
      <c r="B27" s="54" t="s">
        <v>47</v>
      </c>
      <c r="C27" s="78"/>
      <c r="D27" s="319">
        <f>SUM(D28:D29)</f>
        <v>0</v>
      </c>
      <c r="E27" s="320"/>
      <c r="F27" s="319">
        <f>SUM(F28:F29)</f>
        <v>0</v>
      </c>
      <c r="G27" s="80"/>
      <c r="H27" s="79">
        <f>SUM(H28:H29)</f>
        <v>0</v>
      </c>
      <c r="I27" s="81">
        <f>+D27/$D$10</f>
        <v>0</v>
      </c>
      <c r="J27" s="89"/>
    </row>
    <row r="28" spans="1:10" s="88" customFormat="1" ht="16.5" customHeight="1">
      <c r="A28" s="83"/>
      <c r="B28" s="84" t="s">
        <v>28</v>
      </c>
      <c r="C28" s="78"/>
      <c r="D28" s="322">
        <v>0</v>
      </c>
      <c r="E28" s="321"/>
      <c r="F28" s="322">
        <v>0</v>
      </c>
      <c r="G28" s="86"/>
      <c r="H28" s="85">
        <f>+D28-F28</f>
        <v>0</v>
      </c>
      <c r="I28" s="87">
        <f>+D28/$D$10</f>
        <v>0</v>
      </c>
      <c r="J28" s="89"/>
    </row>
    <row r="29" spans="1:9" s="88" customFormat="1" ht="16.5" customHeight="1">
      <c r="A29" s="83"/>
      <c r="B29" s="84"/>
      <c r="C29" s="78"/>
      <c r="D29" s="322"/>
      <c r="E29" s="321"/>
      <c r="F29" s="322"/>
      <c r="G29" s="86"/>
      <c r="H29" s="85"/>
      <c r="I29" s="93"/>
    </row>
    <row r="30" spans="1:9" s="30" customFormat="1" ht="16.5" customHeight="1">
      <c r="A30" s="95"/>
      <c r="B30" s="54" t="s">
        <v>27</v>
      </c>
      <c r="C30" s="78"/>
      <c r="D30" s="319">
        <f>+D10+D15-D19-D27</f>
        <v>-32532000</v>
      </c>
      <c r="E30" s="326"/>
      <c r="F30" s="319">
        <f>+F10+F15-F19-F27</f>
        <v>4528000</v>
      </c>
      <c r="G30" s="80"/>
      <c r="H30" s="79">
        <f>+D30-F30</f>
        <v>-37060000</v>
      </c>
      <c r="I30" s="81">
        <f>+D30/D10</f>
        <v>-0.2772172608903129</v>
      </c>
    </row>
    <row r="31" spans="1:11" s="5" customFormat="1" ht="18" customHeight="1">
      <c r="A31" s="70"/>
      <c r="B31" s="54"/>
      <c r="C31" s="78"/>
      <c r="D31" s="319"/>
      <c r="E31" s="326"/>
      <c r="F31" s="319"/>
      <c r="G31" s="80"/>
      <c r="H31" s="79"/>
      <c r="I31" s="94"/>
      <c r="K31" s="6"/>
    </row>
    <row r="32" spans="1:11" s="5" customFormat="1" ht="18" customHeight="1">
      <c r="A32" s="70"/>
      <c r="B32" s="84" t="s">
        <v>29</v>
      </c>
      <c r="C32" s="78"/>
      <c r="D32" s="322">
        <v>0</v>
      </c>
      <c r="E32" s="321"/>
      <c r="F32" s="322">
        <v>0</v>
      </c>
      <c r="G32" s="86"/>
      <c r="H32" s="85">
        <f>+D32-F32</f>
        <v>0</v>
      </c>
      <c r="I32" s="87">
        <f>+D32/$D$10</f>
        <v>0</v>
      </c>
      <c r="K32" s="6"/>
    </row>
    <row r="33" spans="1:11" s="5" customFormat="1" ht="18" customHeight="1" thickBot="1">
      <c r="A33" s="70"/>
      <c r="B33" s="84" t="s">
        <v>4</v>
      </c>
      <c r="C33" s="78"/>
      <c r="D33" s="323"/>
      <c r="E33" s="321"/>
      <c r="F33" s="323"/>
      <c r="G33" s="75"/>
      <c r="H33" s="90"/>
      <c r="I33" s="93"/>
      <c r="K33" s="6"/>
    </row>
    <row r="34" spans="1:11" s="5" customFormat="1" ht="18" customHeight="1" thickBot="1" thickTop="1">
      <c r="A34" s="70"/>
      <c r="B34" s="54" t="s">
        <v>48</v>
      </c>
      <c r="C34" s="12"/>
      <c r="D34" s="327">
        <f>+D30-D32</f>
        <v>-32532000</v>
      </c>
      <c r="E34" s="318"/>
      <c r="F34" s="327">
        <f>+F30-F32</f>
        <v>4528000</v>
      </c>
      <c r="G34" s="97"/>
      <c r="H34" s="96">
        <f>+H30-H32</f>
        <v>-37060000</v>
      </c>
      <c r="I34" s="365">
        <f>+D34/D10</f>
        <v>-0.2772172608903129</v>
      </c>
      <c r="K34" s="6"/>
    </row>
    <row r="35" spans="1:11" s="5" customFormat="1" ht="18" customHeight="1" thickTop="1">
      <c r="A35" s="70"/>
      <c r="B35" s="54"/>
      <c r="C35" s="12"/>
      <c r="D35" s="328"/>
      <c r="E35" s="318"/>
      <c r="F35" s="328"/>
      <c r="G35" s="97"/>
      <c r="H35" s="98"/>
      <c r="I35" s="81"/>
      <c r="K35" s="6"/>
    </row>
    <row r="36" spans="1:11" s="5" customFormat="1" ht="18" customHeight="1">
      <c r="A36" s="70"/>
      <c r="B36" s="54"/>
      <c r="C36" s="12"/>
      <c r="D36" s="328"/>
      <c r="E36" s="318"/>
      <c r="F36" s="328"/>
      <c r="G36" s="97"/>
      <c r="H36" s="98"/>
      <c r="I36" s="81"/>
      <c r="K36" s="6"/>
    </row>
    <row r="37" spans="1:11" s="5" customFormat="1" ht="18" customHeight="1">
      <c r="A37" s="70"/>
      <c r="B37" s="54"/>
      <c r="C37" s="12"/>
      <c r="D37" s="328"/>
      <c r="E37" s="318"/>
      <c r="F37" s="328"/>
      <c r="G37" s="97"/>
      <c r="H37" s="98"/>
      <c r="I37" s="81"/>
      <c r="K37" s="6"/>
    </row>
    <row r="38" spans="1:9" s="5" customFormat="1" ht="18" customHeight="1">
      <c r="A38" s="70"/>
      <c r="B38" s="54"/>
      <c r="C38" s="12"/>
      <c r="D38" s="328"/>
      <c r="E38" s="318"/>
      <c r="F38" s="328"/>
      <c r="G38" s="97"/>
      <c r="H38" s="98"/>
      <c r="I38" s="81"/>
    </row>
    <row r="39" spans="1:9" s="5" customFormat="1" ht="13.5" customHeight="1">
      <c r="A39" s="70"/>
      <c r="B39" s="54"/>
      <c r="C39" s="12"/>
      <c r="D39" s="328"/>
      <c r="E39" s="318"/>
      <c r="F39" s="328"/>
      <c r="G39" s="97"/>
      <c r="H39" s="98"/>
      <c r="I39" s="81"/>
    </row>
    <row r="40" spans="1:9" s="5" customFormat="1" ht="13.5" customHeight="1">
      <c r="A40" s="70"/>
      <c r="B40" s="54"/>
      <c r="C40" s="12"/>
      <c r="D40" s="328"/>
      <c r="E40" s="318"/>
      <c r="F40" s="328"/>
      <c r="G40" s="97"/>
      <c r="H40" s="98"/>
      <c r="I40" s="76"/>
    </row>
    <row r="41" spans="1:9" ht="13.5" customHeight="1">
      <c r="A41" s="99"/>
      <c r="B41" s="54"/>
      <c r="C41" s="12"/>
      <c r="D41" s="328"/>
      <c r="E41" s="318"/>
      <c r="F41" s="328"/>
      <c r="G41" s="97"/>
      <c r="H41" s="98"/>
      <c r="I41" s="76"/>
    </row>
    <row r="42" spans="1:9" ht="13.5" customHeight="1">
      <c r="A42" s="99"/>
      <c r="B42" s="58"/>
      <c r="C42" s="12"/>
      <c r="D42" s="318"/>
      <c r="E42" s="318"/>
      <c r="F42" s="318"/>
      <c r="G42" s="75"/>
      <c r="H42" s="75"/>
      <c r="I42" s="93"/>
    </row>
    <row r="43" spans="1:9" ht="13.5" customHeight="1">
      <c r="A43" s="99"/>
      <c r="B43" s="58"/>
      <c r="C43" s="12"/>
      <c r="D43" s="318"/>
      <c r="E43" s="318"/>
      <c r="F43" s="318"/>
      <c r="G43" s="75"/>
      <c r="H43" s="75"/>
      <c r="I43" s="93"/>
    </row>
    <row r="44" spans="1:9" ht="13.5" customHeight="1">
      <c r="A44" s="99"/>
      <c r="B44" s="100"/>
      <c r="C44" s="101"/>
      <c r="D44" s="318"/>
      <c r="E44" s="318"/>
      <c r="F44" s="329"/>
      <c r="G44" s="102"/>
      <c r="H44" s="102"/>
      <c r="I44" s="103"/>
    </row>
    <row r="45" spans="2:9" ht="13.5" customHeight="1">
      <c r="B45" s="104" t="str">
        <f>+'ESF 2023'!B86</f>
        <v>YULY F. GIRALDO C.</v>
      </c>
      <c r="C45" s="105" t="str">
        <f>+'ESF 2023'!H86</f>
        <v>LIBIA M. JIMENEZ PULGARIN</v>
      </c>
      <c r="D45" s="318"/>
      <c r="E45" s="318"/>
      <c r="F45" s="330" t="str">
        <f>+'ESF 2023'!E86</f>
        <v>JOEL SUAREZ OSPINA</v>
      </c>
      <c r="G45" s="106"/>
      <c r="H45" s="106"/>
      <c r="I45" s="103"/>
    </row>
    <row r="46" spans="2:9" ht="13.5" customHeight="1">
      <c r="B46" s="107" t="str">
        <f>+'ESF 2023'!B87</f>
        <v>Gerente</v>
      </c>
      <c r="C46" s="108" t="str">
        <f>+'ESF 2023'!H87</f>
        <v>Revisora Fiscal</v>
      </c>
      <c r="D46" s="318"/>
      <c r="E46" s="318"/>
      <c r="F46" s="331" t="str">
        <f>+'ESF 2023'!E87</f>
        <v>Contador</v>
      </c>
      <c r="G46" s="109"/>
      <c r="H46" s="109"/>
      <c r="I46" s="110"/>
    </row>
    <row r="47" spans="2:9" ht="13.5" customHeight="1" thickBot="1">
      <c r="B47" s="111" t="str">
        <f>+'ESF 2023'!B88</f>
        <v>C.C. 1.036.336.568</v>
      </c>
      <c r="C47" s="112" t="str">
        <f>+'ESF 2023'!E88</f>
        <v>T.P. No 39373-T</v>
      </c>
      <c r="D47" s="332"/>
      <c r="E47" s="333"/>
      <c r="F47" s="378" t="str">
        <f>+'ESF 2023'!E88</f>
        <v>T.P. No 39373-T</v>
      </c>
      <c r="G47" s="113"/>
      <c r="H47" s="113"/>
      <c r="I47" s="114"/>
    </row>
    <row r="48" spans="2:9" ht="13.5" customHeight="1">
      <c r="B48" s="115"/>
      <c r="C48" s="116"/>
      <c r="D48" s="334"/>
      <c r="E48" s="334"/>
      <c r="F48" s="334"/>
      <c r="G48" s="117"/>
      <c r="H48" s="117"/>
      <c r="I48" s="118"/>
    </row>
    <row r="49" spans="2:9" ht="13.5">
      <c r="B49" s="383"/>
      <c r="C49" s="383"/>
      <c r="D49" s="383"/>
      <c r="E49" s="383"/>
      <c r="F49" s="383"/>
      <c r="G49" s="383"/>
      <c r="H49" s="383"/>
      <c r="I49" s="383"/>
    </row>
    <row r="50" spans="2:9" ht="13.5">
      <c r="B50" s="383"/>
      <c r="C50" s="383"/>
      <c r="D50" s="383"/>
      <c r="E50" s="383"/>
      <c r="F50" s="383"/>
      <c r="G50" s="383"/>
      <c r="H50" s="383"/>
      <c r="I50" s="383"/>
    </row>
    <row r="51" spans="2:9" ht="12.75">
      <c r="B51" s="386"/>
      <c r="C51" s="386"/>
      <c r="D51" s="386"/>
      <c r="E51" s="386"/>
      <c r="F51" s="386"/>
      <c r="G51" s="386"/>
      <c r="H51" s="386"/>
      <c r="I51" s="386"/>
    </row>
    <row r="52" spans="4:8" ht="15">
      <c r="D52" s="335"/>
      <c r="E52" s="335"/>
      <c r="F52" s="335"/>
      <c r="G52" s="68"/>
      <c r="H52" s="68"/>
    </row>
    <row r="53" spans="4:8" ht="15">
      <c r="D53" s="335"/>
      <c r="E53" s="335"/>
      <c r="F53" s="335"/>
      <c r="G53" s="68"/>
      <c r="H53" s="68"/>
    </row>
    <row r="54" spans="4:8" ht="15">
      <c r="D54" s="335"/>
      <c r="E54" s="335"/>
      <c r="F54" s="335"/>
      <c r="G54" s="68"/>
      <c r="H54" s="68"/>
    </row>
    <row r="55" spans="4:8" ht="15">
      <c r="D55" s="335"/>
      <c r="E55" s="335"/>
      <c r="F55" s="335"/>
      <c r="G55" s="68"/>
      <c r="H55" s="68"/>
    </row>
    <row r="56" spans="4:8" ht="15">
      <c r="D56" s="335"/>
      <c r="E56" s="335"/>
      <c r="F56" s="335"/>
      <c r="G56" s="68"/>
      <c r="H56" s="68"/>
    </row>
    <row r="57" spans="4:8" ht="15">
      <c r="D57" s="335"/>
      <c r="E57" s="335"/>
      <c r="F57" s="335"/>
      <c r="G57" s="68"/>
      <c r="H57" s="68"/>
    </row>
    <row r="58" spans="4:8" ht="15">
      <c r="D58" s="335"/>
      <c r="E58" s="335"/>
      <c r="F58" s="335"/>
      <c r="G58" s="68"/>
      <c r="H58" s="68"/>
    </row>
    <row r="59" spans="4:8" ht="15">
      <c r="D59" s="335"/>
      <c r="E59" s="335"/>
      <c r="F59" s="335"/>
      <c r="G59" s="68"/>
      <c r="H59" s="68"/>
    </row>
    <row r="60" spans="4:8" ht="15">
      <c r="D60" s="335"/>
      <c r="E60" s="335"/>
      <c r="F60" s="335"/>
      <c r="G60" s="68"/>
      <c r="H60" s="68"/>
    </row>
    <row r="61" spans="4:8" ht="15">
      <c r="D61" s="335"/>
      <c r="E61" s="335"/>
      <c r="F61" s="335"/>
      <c r="G61" s="68"/>
      <c r="H61" s="68"/>
    </row>
    <row r="62" spans="4:8" ht="15">
      <c r="D62" s="335"/>
      <c r="E62" s="335"/>
      <c r="F62" s="335"/>
      <c r="G62" s="68"/>
      <c r="H62" s="68"/>
    </row>
  </sheetData>
  <sheetProtection/>
  <mergeCells count="7">
    <mergeCell ref="B49:I49"/>
    <mergeCell ref="B50:I50"/>
    <mergeCell ref="B51:I51"/>
    <mergeCell ref="B1:I1"/>
    <mergeCell ref="B2:I2"/>
    <mergeCell ref="B3:I3"/>
    <mergeCell ref="B4:I4"/>
  </mergeCells>
  <printOptions horizontalCentered="1" verticalCentered="1"/>
  <pageMargins left="0.393700787401575" right="0" top="0.25" bottom="0.590551181102362" header="0" footer="0"/>
  <pageSetup horizontalDpi="300" verticalDpi="3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36.7109375" style="68" bestFit="1" customWidth="1"/>
    <col min="2" max="2" width="13.28125" style="68" customWidth="1"/>
    <col min="3" max="3" width="12.7109375" style="68" customWidth="1"/>
    <col min="4" max="4" width="13.28125" style="68" bestFit="1" customWidth="1"/>
    <col min="5" max="5" width="17.28125" style="68" customWidth="1"/>
    <col min="6" max="6" width="11.421875" style="68" customWidth="1"/>
    <col min="7" max="7" width="13.7109375" style="68" bestFit="1" customWidth="1"/>
    <col min="8" max="9" width="11.421875" style="68" customWidth="1"/>
    <col min="10" max="10" width="12.7109375" style="68" bestFit="1" customWidth="1"/>
    <col min="11" max="16384" width="11.421875" style="68" customWidth="1"/>
  </cols>
  <sheetData>
    <row r="1" spans="1:5" ht="18">
      <c r="A1" s="393" t="s">
        <v>161</v>
      </c>
      <c r="B1" s="393"/>
      <c r="C1" s="393"/>
      <c r="D1" s="393"/>
      <c r="E1" s="393"/>
    </row>
    <row r="2" spans="1:5" ht="12.75">
      <c r="A2" s="394" t="s">
        <v>21</v>
      </c>
      <c r="B2" s="394"/>
      <c r="C2" s="394"/>
      <c r="D2" s="394"/>
      <c r="E2" s="394"/>
    </row>
    <row r="3" spans="1:6" ht="12.75">
      <c r="A3" s="395" t="s">
        <v>295</v>
      </c>
      <c r="B3" s="395"/>
      <c r="C3" s="395"/>
      <c r="D3" s="395"/>
      <c r="E3" s="395"/>
      <c r="F3" s="153"/>
    </row>
    <row r="4" spans="1:6" ht="12.75">
      <c r="A4" s="395" t="str">
        <f>+Estado_Resultados_2023!B4</f>
        <v>GRUPO II - NIIF</v>
      </c>
      <c r="B4" s="395"/>
      <c r="C4" s="395"/>
      <c r="D4" s="395"/>
      <c r="E4" s="395"/>
      <c r="F4" s="153"/>
    </row>
    <row r="5" spans="1:5" ht="12.75">
      <c r="A5" s="394"/>
      <c r="B5" s="394"/>
      <c r="C5" s="394"/>
      <c r="D5" s="394"/>
      <c r="E5" s="394"/>
    </row>
    <row r="6" spans="1:5" ht="12.75">
      <c r="A6" s="123"/>
      <c r="B6" s="123"/>
      <c r="C6" s="123"/>
      <c r="D6" s="123"/>
      <c r="E6" s="123"/>
    </row>
    <row r="7" spans="1:8" ht="13.5" thickBot="1">
      <c r="A7" s="122"/>
      <c r="B7" s="122"/>
      <c r="C7" s="122"/>
      <c r="D7" s="122"/>
      <c r="E7" s="122"/>
      <c r="G7" s="124"/>
      <c r="H7" s="124"/>
    </row>
    <row r="8" spans="1:8" ht="12.75">
      <c r="A8" s="125" t="s">
        <v>15</v>
      </c>
      <c r="B8" s="126" t="s">
        <v>16</v>
      </c>
      <c r="C8" s="127" t="s">
        <v>17</v>
      </c>
      <c r="D8" s="127" t="s">
        <v>18</v>
      </c>
      <c r="E8" s="128" t="s">
        <v>19</v>
      </c>
      <c r="G8" s="124"/>
      <c r="H8" s="124"/>
    </row>
    <row r="9" spans="1:8" ht="12.75">
      <c r="A9" s="129"/>
      <c r="B9" s="99"/>
      <c r="C9" s="130"/>
      <c r="D9" s="130"/>
      <c r="E9" s="131"/>
      <c r="G9" s="124"/>
      <c r="H9" s="124"/>
    </row>
    <row r="10" spans="1:10" ht="12.75">
      <c r="A10" s="154" t="s">
        <v>281</v>
      </c>
      <c r="B10" s="133">
        <f>+'ESF 2023'!G65</f>
        <v>21717000</v>
      </c>
      <c r="C10" s="134">
        <f>+'ESF 2023'!E65-'ESF 2023'!G65</f>
        <v>1555000</v>
      </c>
      <c r="D10" s="134">
        <v>0</v>
      </c>
      <c r="E10" s="135">
        <f>+B10+C10-D10</f>
        <v>23272000</v>
      </c>
      <c r="G10" s="136"/>
      <c r="H10" s="137"/>
      <c r="I10" s="137"/>
      <c r="J10" s="138"/>
    </row>
    <row r="11" spans="1:10" ht="12.75">
      <c r="A11" s="129"/>
      <c r="B11" s="133"/>
      <c r="C11" s="134"/>
      <c r="D11" s="134"/>
      <c r="E11" s="135"/>
      <c r="G11" s="136"/>
      <c r="H11" s="137"/>
      <c r="I11" s="137"/>
      <c r="J11" s="138"/>
    </row>
    <row r="12" spans="1:10" ht="12.75">
      <c r="A12" s="154" t="s">
        <v>282</v>
      </c>
      <c r="B12" s="133">
        <f>+'ESF 2023'!G67</f>
        <v>12525000</v>
      </c>
      <c r="C12" s="134">
        <f>+'ESF 2023'!E67-'ESF 2023'!G67</f>
        <v>1585000</v>
      </c>
      <c r="D12" s="134">
        <v>0</v>
      </c>
      <c r="E12" s="135">
        <f>+B12+C12-D12</f>
        <v>14110000</v>
      </c>
      <c r="G12" s="136"/>
      <c r="H12" s="137"/>
      <c r="I12" s="137"/>
      <c r="J12" s="138"/>
    </row>
    <row r="13" spans="1:10" ht="12.75">
      <c r="A13" s="129"/>
      <c r="B13" s="133"/>
      <c r="C13" s="134"/>
      <c r="D13" s="134"/>
      <c r="E13" s="135"/>
      <c r="G13" s="136"/>
      <c r="H13" s="137"/>
      <c r="I13" s="137"/>
      <c r="J13" s="138"/>
    </row>
    <row r="14" spans="1:10" ht="12.75">
      <c r="A14" s="149" t="s">
        <v>151</v>
      </c>
      <c r="B14" s="133">
        <v>48888000</v>
      </c>
      <c r="C14" s="134">
        <f>+'ESF 2023'!E69-Estado_cambios_Patrimonio_2023!B14</f>
        <v>0</v>
      </c>
      <c r="D14" s="134">
        <v>0</v>
      </c>
      <c r="E14" s="135">
        <f>+B14+C14-D14</f>
        <v>48888000</v>
      </c>
      <c r="G14" s="136"/>
      <c r="H14" s="137"/>
      <c r="I14" s="137"/>
      <c r="J14" s="138"/>
    </row>
    <row r="15" spans="1:10" ht="12.75">
      <c r="A15" s="129"/>
      <c r="B15" s="133"/>
      <c r="C15" s="134"/>
      <c r="D15" s="134"/>
      <c r="E15" s="135"/>
      <c r="G15" s="136"/>
      <c r="H15" s="137"/>
      <c r="I15" s="137"/>
      <c r="J15" s="138"/>
    </row>
    <row r="16" spans="1:10" ht="12.75">
      <c r="A16" s="132" t="str">
        <f>+'ESF 2023'!B71</f>
        <v>Fondos de Destinación Específica</v>
      </c>
      <c r="B16" s="133">
        <f>+'ESF 2023'!G71</f>
        <v>6941000</v>
      </c>
      <c r="C16" s="133">
        <v>0</v>
      </c>
      <c r="D16" s="134">
        <v>0</v>
      </c>
      <c r="E16" s="135">
        <f>+B16+C16-D16</f>
        <v>6941000</v>
      </c>
      <c r="G16" s="136"/>
      <c r="H16" s="137"/>
      <c r="I16" s="137"/>
      <c r="J16" s="138"/>
    </row>
    <row r="17" spans="1:10" ht="12.75">
      <c r="A17" s="129"/>
      <c r="B17" s="133"/>
      <c r="C17" s="134"/>
      <c r="D17" s="134"/>
      <c r="E17" s="135"/>
      <c r="G17" s="136"/>
      <c r="H17" s="139"/>
      <c r="I17" s="139"/>
      <c r="J17" s="138"/>
    </row>
    <row r="18" spans="1:10" ht="12.75">
      <c r="A18" s="154" t="s">
        <v>49</v>
      </c>
      <c r="B18" s="133">
        <f>+'ESF 2023'!G73</f>
        <v>4528000</v>
      </c>
      <c r="C18" s="134">
        <v>0</v>
      </c>
      <c r="D18" s="134">
        <f>+Estado_Resultados_2023!D34-Estado_Resultados_2023!F34</f>
        <v>-37060000</v>
      </c>
      <c r="E18" s="135">
        <f>+B18+D18</f>
        <v>-32532000</v>
      </c>
      <c r="G18" s="136"/>
      <c r="H18" s="137"/>
      <c r="I18" s="137"/>
      <c r="J18" s="138"/>
    </row>
    <row r="19" spans="1:10" ht="12.75">
      <c r="A19" s="129"/>
      <c r="B19" s="133"/>
      <c r="C19" s="134"/>
      <c r="D19" s="134"/>
      <c r="E19" s="135"/>
      <c r="G19" s="136"/>
      <c r="H19" s="137"/>
      <c r="I19" s="137"/>
      <c r="J19" s="138"/>
    </row>
    <row r="20" spans="1:10" ht="12.75">
      <c r="A20" s="129"/>
      <c r="B20" s="133"/>
      <c r="C20" s="140"/>
      <c r="D20" s="134"/>
      <c r="E20" s="135"/>
      <c r="G20" s="136"/>
      <c r="H20" s="139"/>
      <c r="I20" s="139"/>
      <c r="J20" s="138"/>
    </row>
    <row r="21" spans="1:10" ht="12.75">
      <c r="A21" s="141" t="s">
        <v>20</v>
      </c>
      <c r="B21" s="140">
        <f>SUM(B10:B19)</f>
        <v>94599000</v>
      </c>
      <c r="C21" s="140">
        <f>SUM(C10:C19)</f>
        <v>3140000</v>
      </c>
      <c r="D21" s="140">
        <f>SUM(D10:D19)</f>
        <v>-37060000</v>
      </c>
      <c r="E21" s="142">
        <f>SUM(E10:E19)</f>
        <v>60679000</v>
      </c>
      <c r="G21" s="137"/>
      <c r="H21" s="137"/>
      <c r="I21" s="143"/>
      <c r="J21" s="143"/>
    </row>
    <row r="22" spans="1:10" ht="12.75">
      <c r="A22" s="129"/>
      <c r="B22" s="99"/>
      <c r="C22" s="144"/>
      <c r="D22" s="144"/>
      <c r="E22" s="145"/>
      <c r="F22" s="157"/>
      <c r="G22" s="124"/>
      <c r="H22" s="136"/>
      <c r="I22" s="138"/>
      <c r="J22" s="138"/>
    </row>
    <row r="23" spans="1:10" ht="12.75">
      <c r="A23" s="129"/>
      <c r="B23" s="99"/>
      <c r="C23" s="144"/>
      <c r="D23" s="144"/>
      <c r="E23" s="145"/>
      <c r="G23" s="124"/>
      <c r="H23" s="136"/>
      <c r="I23" s="138"/>
      <c r="J23" s="138"/>
    </row>
    <row r="24" spans="1:5" ht="12.75">
      <c r="A24" s="129"/>
      <c r="B24" s="99"/>
      <c r="C24" s="99"/>
      <c r="D24" s="99"/>
      <c r="E24" s="131"/>
    </row>
    <row r="25" spans="1:5" ht="12.75">
      <c r="A25" s="129"/>
      <c r="B25" s="99"/>
      <c r="C25" s="99"/>
      <c r="D25" s="99"/>
      <c r="E25" s="131"/>
    </row>
    <row r="26" spans="1:5" ht="12.75">
      <c r="A26" s="146" t="str">
        <f>+'ESF 2023'!B86</f>
        <v>YULY F. GIRALDO C.</v>
      </c>
      <c r="B26" s="99"/>
      <c r="C26" s="99"/>
      <c r="D26" s="147" t="str">
        <f>+'ESF 2023'!E86</f>
        <v>JOEL SUAREZ OSPINA</v>
      </c>
      <c r="E26" s="148"/>
    </row>
    <row r="27" spans="1:5" ht="12.75">
      <c r="A27" s="149" t="str">
        <f>+'ESF 2023'!B87</f>
        <v>Gerente</v>
      </c>
      <c r="B27" s="99"/>
      <c r="C27" s="99"/>
      <c r="D27" s="150" t="s">
        <v>291</v>
      </c>
      <c r="E27" s="151"/>
    </row>
    <row r="28" spans="1:5" ht="12.75">
      <c r="A28" s="146"/>
      <c r="B28" s="147"/>
      <c r="C28" s="147"/>
      <c r="D28" s="144"/>
      <c r="E28" s="131"/>
    </row>
    <row r="29" spans="1:5" ht="12.75">
      <c r="A29" s="146"/>
      <c r="B29" s="147"/>
      <c r="C29" s="147"/>
      <c r="D29" s="99"/>
      <c r="E29" s="131"/>
    </row>
    <row r="30" spans="1:5" ht="12.75">
      <c r="A30" s="396" t="str">
        <f>+'ESF 2023'!H86</f>
        <v>LIBIA M. JIMENEZ PULGARIN</v>
      </c>
      <c r="B30" s="397"/>
      <c r="C30" s="397"/>
      <c r="D30" s="397"/>
      <c r="E30" s="398"/>
    </row>
    <row r="31" spans="1:5" ht="12.75">
      <c r="A31" s="387" t="str">
        <f>+'ESF 2023'!H87</f>
        <v>Revisora Fiscal</v>
      </c>
      <c r="B31" s="388"/>
      <c r="C31" s="388"/>
      <c r="D31" s="388"/>
      <c r="E31" s="389"/>
    </row>
    <row r="32" spans="1:5" ht="13.5" thickBot="1">
      <c r="A32" s="390" t="str">
        <f>+'ESF 2023'!H88</f>
        <v>T.P. No168332 - T</v>
      </c>
      <c r="B32" s="391"/>
      <c r="C32" s="391"/>
      <c r="D32" s="391"/>
      <c r="E32" s="392"/>
    </row>
  </sheetData>
  <sheetProtection/>
  <mergeCells count="8">
    <mergeCell ref="A31:E31"/>
    <mergeCell ref="A32:E32"/>
    <mergeCell ref="A1:E1"/>
    <mergeCell ref="A2:E2"/>
    <mergeCell ref="A3:E3"/>
    <mergeCell ref="A5:E5"/>
    <mergeCell ref="A4:E4"/>
    <mergeCell ref="A30:E30"/>
  </mergeCells>
  <printOptions horizontalCentered="1" verticalCentered="1"/>
  <pageMargins left="0.5905511811023623" right="0.3937007874015748" top="0.1968503937007874" bottom="0.984251968503937" header="0" footer="0"/>
  <pageSetup horizontalDpi="300" verticalDpi="3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B9"/>
  <sheetViews>
    <sheetView zoomScale="120" zoomScaleNormal="120" zoomScalePageLayoutView="0" workbookViewId="0" topLeftCell="A1">
      <selection activeCell="K14" sqref="K14"/>
    </sheetView>
  </sheetViews>
  <sheetFormatPr defaultColWidth="11.421875" defaultRowHeight="12.75"/>
  <cols>
    <col min="1" max="15" width="11.421875" style="216" customWidth="1"/>
  </cols>
  <sheetData>
    <row r="4" spans="1:2" ht="12.75">
      <c r="A4" s="216">
        <v>2018</v>
      </c>
      <c r="B4" s="216">
        <v>58336000</v>
      </c>
    </row>
    <row r="5" spans="1:2" ht="12.75">
      <c r="A5" s="216">
        <v>2019</v>
      </c>
      <c r="B5" s="216">
        <v>81919000</v>
      </c>
    </row>
    <row r="6" spans="1:2" ht="12.75">
      <c r="A6" s="216">
        <v>2020</v>
      </c>
      <c r="B6" s="216">
        <v>73445000</v>
      </c>
    </row>
    <row r="7" spans="1:2" ht="12.75">
      <c r="A7" s="216">
        <v>2021</v>
      </c>
      <c r="B7" s="216">
        <v>69831000</v>
      </c>
    </row>
    <row r="8" spans="1:2" ht="12.75">
      <c r="A8" s="216">
        <v>2022</v>
      </c>
      <c r="B8" s="216">
        <v>117670000</v>
      </c>
    </row>
    <row r="9" spans="1:2" ht="12.75">
      <c r="A9" s="216">
        <v>2023</v>
      </c>
      <c r="B9" s="216">
        <v>118024000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"/>
  <sheetViews>
    <sheetView zoomScale="120" zoomScaleNormal="120" zoomScalePageLayoutView="0" workbookViewId="0" topLeftCell="A1">
      <selection activeCell="D18" sqref="D18"/>
    </sheetView>
  </sheetViews>
  <sheetFormatPr defaultColWidth="11.421875" defaultRowHeight="12.75"/>
  <cols>
    <col min="2" max="7" width="11.421875" style="216" customWidth="1"/>
    <col min="8" max="8" width="13.8515625" style="216" bestFit="1" customWidth="1"/>
    <col min="9" max="9" width="11.57421875" style="0" bestFit="1" customWidth="1"/>
    <col min="10" max="10" width="13.8515625" style="0" bestFit="1" customWidth="1"/>
  </cols>
  <sheetData>
    <row r="2" spans="8:10" ht="12.75">
      <c r="H2" s="294"/>
      <c r="I2" s="294"/>
      <c r="J2" s="294"/>
    </row>
    <row r="4" spans="1:2" ht="12.75">
      <c r="A4" s="216">
        <v>2018</v>
      </c>
      <c r="B4" s="216">
        <v>87402000</v>
      </c>
    </row>
    <row r="5" spans="1:2" ht="12.75">
      <c r="A5" s="216">
        <v>2019</v>
      </c>
      <c r="B5" s="216">
        <v>90372000</v>
      </c>
    </row>
    <row r="6" spans="1:2" ht="12.75">
      <c r="A6" s="216">
        <v>2020</v>
      </c>
      <c r="B6" s="216">
        <v>90612000</v>
      </c>
    </row>
    <row r="7" spans="1:2" ht="12.75">
      <c r="A7" s="216">
        <v>2021</v>
      </c>
      <c r="B7" s="216">
        <v>89885000</v>
      </c>
    </row>
    <row r="8" spans="1:2" ht="12.75">
      <c r="A8" s="216">
        <v>2022</v>
      </c>
      <c r="B8" s="216">
        <v>94599000</v>
      </c>
    </row>
    <row r="9" spans="1:2" ht="12.75">
      <c r="A9" s="216">
        <v>2023</v>
      </c>
      <c r="B9" s="216">
        <v>60679000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selection activeCell="E6" sqref="E6"/>
    </sheetView>
  </sheetViews>
  <sheetFormatPr defaultColWidth="11.421875" defaultRowHeight="12.75"/>
  <cols>
    <col min="1" max="1" width="37.57421875" style="294" customWidth="1"/>
    <col min="2" max="2" width="7.00390625" style="294" customWidth="1"/>
    <col min="3" max="3" width="17.140625" style="294" customWidth="1"/>
    <col min="4" max="4" width="11.421875" style="294" customWidth="1"/>
    <col min="5" max="5" width="13.421875" style="294" bestFit="1" customWidth="1"/>
    <col min="6" max="16384" width="11.421875" style="294" customWidth="1"/>
  </cols>
  <sheetData>
    <row r="1" spans="1:3" ht="51" customHeight="1">
      <c r="A1" s="297"/>
      <c r="B1" s="297"/>
      <c r="C1" s="297"/>
    </row>
    <row r="2" spans="1:3" ht="12.75">
      <c r="A2" s="297"/>
      <c r="B2" s="297"/>
      <c r="C2" s="297"/>
    </row>
    <row r="3" spans="1:5" ht="12.75">
      <c r="A3" s="399" t="s">
        <v>260</v>
      </c>
      <c r="B3" s="399"/>
      <c r="C3" s="399"/>
      <c r="E3" s="366">
        <v>4527567.790000007</v>
      </c>
    </row>
    <row r="4" spans="1:3" ht="12.75">
      <c r="A4" s="399" t="s">
        <v>283</v>
      </c>
      <c r="B4" s="399"/>
      <c r="C4" s="399"/>
    </row>
    <row r="5" spans="1:3" ht="12.75">
      <c r="A5" s="297"/>
      <c r="B5" s="297"/>
      <c r="C5" s="297"/>
    </row>
    <row r="6" spans="1:3" ht="12.75">
      <c r="A6" s="297"/>
      <c r="B6" s="297"/>
      <c r="C6" s="297"/>
    </row>
    <row r="7" spans="1:3" ht="12.75">
      <c r="A7" s="296" t="s">
        <v>272</v>
      </c>
      <c r="B7" s="296"/>
      <c r="C7" s="297">
        <v>4527567.79</v>
      </c>
    </row>
    <row r="8" spans="1:3" ht="12.75">
      <c r="A8" s="297"/>
      <c r="B8" s="297"/>
      <c r="C8" s="297"/>
    </row>
    <row r="9" spans="1:3" ht="12.75">
      <c r="A9" s="296" t="s">
        <v>263</v>
      </c>
      <c r="B9" s="298">
        <v>0.25</v>
      </c>
      <c r="C9" s="297">
        <f>+C7*0.25</f>
        <v>1131891.9475</v>
      </c>
    </row>
    <row r="10" spans="1:3" ht="12.75">
      <c r="A10" s="299" t="s">
        <v>264</v>
      </c>
      <c r="B10" s="300">
        <v>0.1</v>
      </c>
      <c r="C10" s="304">
        <f>+C7*0.1</f>
        <v>452756.77900000004</v>
      </c>
    </row>
    <row r="11" spans="1:3" ht="12.75">
      <c r="A11" s="296" t="s">
        <v>265</v>
      </c>
      <c r="B11" s="298">
        <v>0.05</v>
      </c>
      <c r="C11" s="297">
        <f>+C7*0.05</f>
        <v>226378.38950000002</v>
      </c>
    </row>
    <row r="12" spans="1:3" ht="12.75">
      <c r="A12" s="296" t="s">
        <v>266</v>
      </c>
      <c r="B12" s="298">
        <v>0.05</v>
      </c>
      <c r="C12" s="297">
        <f>+C7*0.05</f>
        <v>226378.38950000002</v>
      </c>
    </row>
    <row r="13" spans="1:3" ht="12.75">
      <c r="A13" s="296" t="s">
        <v>267</v>
      </c>
      <c r="B13" s="298">
        <v>0.05</v>
      </c>
      <c r="C13" s="297">
        <f>+C7*0.05</f>
        <v>226378.38950000002</v>
      </c>
    </row>
    <row r="14" spans="1:3" ht="12.75">
      <c r="A14" s="301" t="s">
        <v>269</v>
      </c>
      <c r="B14" s="302">
        <v>0.5</v>
      </c>
      <c r="C14" s="301">
        <f>SUM(C9:C13)</f>
        <v>2263783.895</v>
      </c>
    </row>
    <row r="15" spans="1:3" ht="12.75">
      <c r="A15" s="297"/>
      <c r="B15" s="303"/>
      <c r="C15" s="297"/>
    </row>
    <row r="16" spans="1:3" ht="12.75">
      <c r="A16" s="296" t="s">
        <v>259</v>
      </c>
      <c r="B16" s="298"/>
      <c r="C16" s="297"/>
    </row>
    <row r="17" spans="1:3" ht="12.75">
      <c r="A17" s="296" t="s">
        <v>268</v>
      </c>
      <c r="B17" s="298">
        <v>0.5</v>
      </c>
      <c r="C17" s="297">
        <f>+C14</f>
        <v>2263783.895</v>
      </c>
    </row>
    <row r="18" spans="1:3" ht="12.75">
      <c r="A18" s="301" t="s">
        <v>270</v>
      </c>
      <c r="B18" s="301"/>
      <c r="C18" s="301">
        <f>+C17</f>
        <v>2263783.895</v>
      </c>
    </row>
    <row r="19" spans="1:3" ht="12.75">
      <c r="A19" s="297"/>
      <c r="B19" s="303"/>
      <c r="C19" s="297"/>
    </row>
    <row r="20" spans="1:3" ht="12.75">
      <c r="A20" s="301" t="s">
        <v>271</v>
      </c>
      <c r="B20" s="301"/>
      <c r="C20" s="301">
        <f>+C14+C18</f>
        <v>4527567.79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B26" sqref="B26:C26"/>
    </sheetView>
  </sheetViews>
  <sheetFormatPr defaultColWidth="11.421875" defaultRowHeight="12.75"/>
  <cols>
    <col min="1" max="1" width="2.28125" style="68" customWidth="1"/>
    <col min="2" max="2" width="56.140625" style="68" customWidth="1"/>
    <col min="3" max="3" width="32.8515625" style="68" customWidth="1"/>
    <col min="4" max="9" width="11.421875" style="157" customWidth="1"/>
    <col min="10" max="16384" width="11.421875" style="68" customWidth="1"/>
  </cols>
  <sheetData>
    <row r="1" spans="1:3" s="157" customFormat="1" ht="12.75">
      <c r="A1" s="68"/>
      <c r="B1" s="394" t="s">
        <v>149</v>
      </c>
      <c r="C1" s="394"/>
    </row>
    <row r="2" spans="1:3" s="157" customFormat="1" ht="12.75">
      <c r="A2" s="68"/>
      <c r="B2" s="394" t="str">
        <f>+'[1]BALANCE GENERAL'!D2</f>
        <v>N.I.T.  900.155.293-1</v>
      </c>
      <c r="C2" s="394"/>
    </row>
    <row r="3" spans="1:3" s="157" customFormat="1" ht="12.75">
      <c r="A3" s="68"/>
      <c r="B3" s="394" t="s">
        <v>50</v>
      </c>
      <c r="C3" s="394"/>
    </row>
    <row r="4" spans="1:3" s="157" customFormat="1" ht="13.5" thickBot="1">
      <c r="A4" s="68"/>
      <c r="B4" s="68"/>
      <c r="C4" s="68"/>
    </row>
    <row r="5" spans="1:3" s="157" customFormat="1" ht="12.75">
      <c r="A5" s="68"/>
      <c r="B5" s="181"/>
      <c r="C5" s="182">
        <v>2016</v>
      </c>
    </row>
    <row r="6" spans="1:3" s="157" customFormat="1" ht="12.75">
      <c r="A6" s="68"/>
      <c r="B6" s="129"/>
      <c r="C6" s="183"/>
    </row>
    <row r="7" spans="1:3" s="157" customFormat="1" ht="14.25" customHeight="1">
      <c r="A7" s="68"/>
      <c r="B7" s="184" t="s">
        <v>51</v>
      </c>
      <c r="C7" s="185">
        <f>+'ESF 2023'!E14-'ESF 2023'!G14</f>
        <v>2078000</v>
      </c>
    </row>
    <row r="8" spans="1:3" s="157" customFormat="1" ht="15">
      <c r="A8" s="68"/>
      <c r="B8" s="184" t="s">
        <v>52</v>
      </c>
      <c r="C8" s="185">
        <f>+'ESF 2023'!E18+1391500</f>
        <v>63687500</v>
      </c>
    </row>
    <row r="9" spans="1:3" s="157" customFormat="1" ht="15">
      <c r="A9" s="68"/>
      <c r="B9" s="184" t="s">
        <v>53</v>
      </c>
      <c r="C9" s="185">
        <f>+'ESF 2023'!E19</f>
        <v>-7375000</v>
      </c>
    </row>
    <row r="10" spans="1:3" s="157" customFormat="1" ht="15">
      <c r="A10" s="68"/>
      <c r="B10" s="184" t="s">
        <v>54</v>
      </c>
      <c r="C10" s="185">
        <f>+'ESF 2023'!E32+'ESF 2023'!E33-'ESF 2023'!G32-'ESF 2023'!G33</f>
        <v>-999000</v>
      </c>
    </row>
    <row r="11" spans="1:3" s="157" customFormat="1" ht="15">
      <c r="A11" s="68"/>
      <c r="B11" s="184" t="s">
        <v>55</v>
      </c>
      <c r="C11" s="185">
        <v>0</v>
      </c>
    </row>
    <row r="12" spans="2:3" s="157" customFormat="1" ht="15">
      <c r="B12" s="184" t="s">
        <v>56</v>
      </c>
      <c r="C12" s="185">
        <v>-32562588</v>
      </c>
    </row>
    <row r="13" spans="2:3" s="157" customFormat="1" ht="15">
      <c r="B13" s="184" t="s">
        <v>57</v>
      </c>
      <c r="C13" s="185">
        <v>-710000</v>
      </c>
    </row>
    <row r="14" spans="2:3" s="157" customFormat="1" ht="15">
      <c r="B14" s="184" t="s">
        <v>58</v>
      </c>
      <c r="C14" s="185">
        <v>-40449046.28</v>
      </c>
    </row>
    <row r="15" spans="1:3" s="157" customFormat="1" ht="15">
      <c r="A15" s="68"/>
      <c r="B15" s="184" t="s">
        <v>59</v>
      </c>
      <c r="C15" s="185">
        <v>17722478.64</v>
      </c>
    </row>
    <row r="16" spans="1:3" s="157" customFormat="1" ht="15">
      <c r="A16" s="68"/>
      <c r="B16" s="184" t="s">
        <v>60</v>
      </c>
      <c r="C16" s="185">
        <v>2027047.9499998651</v>
      </c>
    </row>
    <row r="17" spans="2:3" s="157" customFormat="1" ht="22.5" customHeight="1">
      <c r="B17" s="186" t="s">
        <v>61</v>
      </c>
      <c r="C17" s="187">
        <f>SUM(C7:C16)</f>
        <v>3419392.3099998645</v>
      </c>
    </row>
    <row r="18" spans="2:3" s="157" customFormat="1" ht="15">
      <c r="B18" s="184"/>
      <c r="C18" s="188"/>
    </row>
    <row r="19" spans="1:3" s="157" customFormat="1" ht="15">
      <c r="A19" s="68"/>
      <c r="B19" s="186" t="s">
        <v>62</v>
      </c>
      <c r="C19" s="188"/>
    </row>
    <row r="20" spans="1:3" s="157" customFormat="1" ht="15">
      <c r="A20" s="68"/>
      <c r="B20" s="184" t="s">
        <v>63</v>
      </c>
      <c r="C20" s="185">
        <v>0</v>
      </c>
    </row>
    <row r="21" spans="1:3" s="157" customFormat="1" ht="15">
      <c r="A21" s="68"/>
      <c r="B21" s="184" t="s">
        <v>64</v>
      </c>
      <c r="C21" s="185">
        <v>344727</v>
      </c>
    </row>
    <row r="22" spans="1:3" s="157" customFormat="1" ht="15">
      <c r="A22" s="68"/>
      <c r="B22" s="184" t="s">
        <v>65</v>
      </c>
      <c r="C22" s="185">
        <v>0</v>
      </c>
    </row>
    <row r="23" spans="1:3" s="157" customFormat="1" ht="15" customHeight="1">
      <c r="A23" s="68"/>
      <c r="B23" s="184" t="s">
        <v>66</v>
      </c>
      <c r="C23" s="185">
        <v>2810802</v>
      </c>
    </row>
    <row r="24" spans="1:3" s="157" customFormat="1" ht="15">
      <c r="A24" s="68"/>
      <c r="B24" s="184" t="s">
        <v>67</v>
      </c>
      <c r="C24" s="185">
        <v>0</v>
      </c>
    </row>
    <row r="25" spans="1:3" s="157" customFormat="1" ht="15">
      <c r="A25" s="68"/>
      <c r="B25" s="184" t="s">
        <v>68</v>
      </c>
      <c r="C25" s="185">
        <v>0</v>
      </c>
    </row>
    <row r="26" spans="1:3" s="157" customFormat="1" ht="15">
      <c r="A26" s="68"/>
      <c r="B26" s="184" t="s">
        <v>69</v>
      </c>
      <c r="C26" s="185">
        <v>0</v>
      </c>
    </row>
    <row r="27" spans="2:3" s="157" customFormat="1" ht="15">
      <c r="B27" s="189" t="s">
        <v>70</v>
      </c>
      <c r="C27" s="185">
        <v>0</v>
      </c>
    </row>
    <row r="28" spans="1:3" s="157" customFormat="1" ht="15">
      <c r="A28" s="68"/>
      <c r="B28" s="184" t="s">
        <v>71</v>
      </c>
      <c r="C28" s="185">
        <v>0</v>
      </c>
    </row>
    <row r="29" spans="1:3" s="157" customFormat="1" ht="15">
      <c r="A29" s="68"/>
      <c r="B29" s="184" t="s">
        <v>72</v>
      </c>
      <c r="C29" s="185">
        <v>0</v>
      </c>
    </row>
    <row r="30" spans="1:3" s="157" customFormat="1" ht="15">
      <c r="A30" s="68"/>
      <c r="B30" s="184" t="s">
        <v>73</v>
      </c>
      <c r="C30" s="185">
        <v>0</v>
      </c>
    </row>
    <row r="31" spans="1:3" s="157" customFormat="1" ht="15">
      <c r="A31" s="68"/>
      <c r="B31" s="184" t="s">
        <v>74</v>
      </c>
      <c r="C31" s="185">
        <v>0</v>
      </c>
    </row>
    <row r="32" spans="2:3" s="157" customFormat="1" ht="15">
      <c r="B32" s="190" t="s">
        <v>75</v>
      </c>
      <c r="C32" s="187">
        <f>SUM(C20:C31)</f>
        <v>3155529</v>
      </c>
    </row>
    <row r="33" spans="1:3" s="157" customFormat="1" ht="15">
      <c r="A33" s="68"/>
      <c r="B33" s="184"/>
      <c r="C33" s="188"/>
    </row>
    <row r="34" spans="1:3" s="157" customFormat="1" ht="16.5" customHeight="1">
      <c r="A34" s="68"/>
      <c r="B34" s="186" t="s">
        <v>76</v>
      </c>
      <c r="C34" s="187">
        <f>+C17-C32</f>
        <v>263863.30999986455</v>
      </c>
    </row>
    <row r="35" spans="1:3" s="157" customFormat="1" ht="16.5" customHeight="1">
      <c r="A35" s="68"/>
      <c r="B35" s="149"/>
      <c r="C35" s="135"/>
    </row>
    <row r="36" spans="1:3" s="157" customFormat="1" ht="16.5" customHeight="1">
      <c r="A36" s="68"/>
      <c r="B36" s="149"/>
      <c r="C36" s="135"/>
    </row>
    <row r="37" spans="1:3" s="157" customFormat="1" ht="12.75">
      <c r="A37" s="68"/>
      <c r="B37" s="129"/>
      <c r="C37" s="135"/>
    </row>
    <row r="38" spans="1:3" s="157" customFormat="1" ht="12.75">
      <c r="A38" s="68"/>
      <c r="B38" s="129"/>
      <c r="C38" s="135"/>
    </row>
    <row r="39" spans="1:3" s="157" customFormat="1" ht="12.75">
      <c r="A39" s="122"/>
      <c r="B39" s="146" t="str">
        <f>+'[1]BALANCE GENERAL'!B74</f>
        <v>JOEL SUAREZ OSPINA</v>
      </c>
      <c r="C39" s="148" t="str">
        <f>+'[1]BALANCE GENERAL'!G74</f>
        <v>ORLANDO DE JESUS JIMENES</v>
      </c>
    </row>
    <row r="40" spans="1:3" s="157" customFormat="1" ht="12.75">
      <c r="A40" s="68"/>
      <c r="B40" s="129" t="str">
        <f>+'[1]BALANCE GENERAL'!B75</f>
        <v>Director Ejecutivo </v>
      </c>
      <c r="C40" s="151" t="s">
        <v>77</v>
      </c>
    </row>
    <row r="41" spans="1:3" s="157" customFormat="1" ht="12.75">
      <c r="A41" s="68"/>
      <c r="B41" s="129"/>
      <c r="C41" s="131"/>
    </row>
    <row r="42" spans="1:3" s="157" customFormat="1" ht="12.75">
      <c r="A42" s="68"/>
      <c r="B42" s="400" t="str">
        <f>+'[1]BALANCE GENERAL'!D74</f>
        <v>LUIS FERNANDO GUARIN OSPINA</v>
      </c>
      <c r="C42" s="401"/>
    </row>
    <row r="43" spans="1:3" s="157" customFormat="1" ht="13.5" thickBot="1">
      <c r="A43" s="68"/>
      <c r="B43" s="402" t="s">
        <v>30</v>
      </c>
      <c r="C43" s="392"/>
    </row>
  </sheetData>
  <sheetProtection/>
  <mergeCells count="5">
    <mergeCell ref="B1:C1"/>
    <mergeCell ref="B2:C2"/>
    <mergeCell ref="B3:C3"/>
    <mergeCell ref="B42:C42"/>
    <mergeCell ref="B43:C43"/>
  </mergeCells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55">
      <selection activeCell="F85" sqref="F85"/>
    </sheetView>
  </sheetViews>
  <sheetFormatPr defaultColWidth="11.421875" defaultRowHeight="12.75"/>
  <cols>
    <col min="1" max="1" width="2.7109375" style="158" customWidth="1"/>
    <col min="2" max="2" width="63.00390625" style="180" bestFit="1" customWidth="1"/>
    <col min="3" max="3" width="28.28125" style="158" customWidth="1"/>
    <col min="4" max="4" width="11.421875" style="158" customWidth="1"/>
    <col min="5" max="16384" width="11.421875" style="68" customWidth="1"/>
  </cols>
  <sheetData>
    <row r="1" spans="1:3" s="158" customFormat="1" ht="12.75">
      <c r="A1" s="156"/>
      <c r="B1" s="403" t="s">
        <v>31</v>
      </c>
      <c r="C1" s="403"/>
    </row>
    <row r="2" spans="1:3" s="158" customFormat="1" ht="12.75">
      <c r="A2" s="156"/>
      <c r="B2" s="404" t="str">
        <f>+'[1]BALANCE GENERAL'!D2</f>
        <v>N.I.T.  900.155.293-1</v>
      </c>
      <c r="C2" s="404"/>
    </row>
    <row r="3" spans="1:3" s="158" customFormat="1" ht="12.75">
      <c r="A3" s="156"/>
      <c r="B3" s="404" t="s">
        <v>78</v>
      </c>
      <c r="C3" s="404"/>
    </row>
    <row r="4" spans="1:3" s="158" customFormat="1" ht="13.5" thickBot="1">
      <c r="A4" s="156"/>
      <c r="B4" s="159"/>
      <c r="C4" s="159"/>
    </row>
    <row r="5" spans="2:3" s="158" customFormat="1" ht="12.75">
      <c r="B5" s="160" t="s">
        <v>79</v>
      </c>
      <c r="C5" s="161">
        <v>2016</v>
      </c>
    </row>
    <row r="6" spans="2:3" s="158" customFormat="1" ht="9.75" customHeight="1">
      <c r="B6" s="162" t="s">
        <v>80</v>
      </c>
      <c r="C6" s="163"/>
    </row>
    <row r="7" spans="2:3" s="158" customFormat="1" ht="12" customHeight="1">
      <c r="B7" s="164" t="s">
        <v>81</v>
      </c>
      <c r="C7" s="165">
        <f>+'ESF 2023'!E73</f>
        <v>-32532000</v>
      </c>
    </row>
    <row r="8" spans="2:3" s="158" customFormat="1" ht="12" customHeight="1">
      <c r="B8" s="166" t="s">
        <v>82</v>
      </c>
      <c r="C8" s="165"/>
    </row>
    <row r="9" spans="2:3" s="158" customFormat="1" ht="12" customHeight="1">
      <c r="B9" s="167" t="s">
        <v>83</v>
      </c>
      <c r="C9" s="165">
        <v>0</v>
      </c>
    </row>
    <row r="10" spans="2:3" s="158" customFormat="1" ht="12" customHeight="1">
      <c r="B10" s="164" t="s">
        <v>84</v>
      </c>
      <c r="C10" s="165">
        <v>0</v>
      </c>
    </row>
    <row r="11" spans="2:3" s="158" customFormat="1" ht="12" customHeight="1">
      <c r="B11" s="164" t="s">
        <v>85</v>
      </c>
      <c r="C11" s="165">
        <v>0</v>
      </c>
    </row>
    <row r="12" spans="2:3" s="158" customFormat="1" ht="12" customHeight="1">
      <c r="B12" s="164" t="s">
        <v>86</v>
      </c>
      <c r="C12" s="165">
        <v>0</v>
      </c>
    </row>
    <row r="13" spans="2:3" s="158" customFormat="1" ht="12" customHeight="1">
      <c r="B13" s="164" t="s">
        <v>87</v>
      </c>
      <c r="C13" s="165">
        <v>0</v>
      </c>
    </row>
    <row r="14" spans="2:3" s="158" customFormat="1" ht="12" customHeight="1">
      <c r="B14" s="164" t="s">
        <v>88</v>
      </c>
      <c r="C14" s="165">
        <v>0</v>
      </c>
    </row>
    <row r="15" spans="2:3" s="158" customFormat="1" ht="12" customHeight="1">
      <c r="B15" s="164" t="s">
        <v>89</v>
      </c>
      <c r="C15" s="165">
        <v>0</v>
      </c>
    </row>
    <row r="16" spans="2:3" s="158" customFormat="1" ht="12" customHeight="1">
      <c r="B16" s="164" t="s">
        <v>90</v>
      </c>
      <c r="C16" s="165">
        <v>10800335</v>
      </c>
    </row>
    <row r="17" spans="2:3" s="158" customFormat="1" ht="12" customHeight="1">
      <c r="B17" s="164" t="s">
        <v>91</v>
      </c>
      <c r="C17" s="165">
        <v>0</v>
      </c>
    </row>
    <row r="18" spans="2:3" s="158" customFormat="1" ht="12" customHeight="1">
      <c r="B18" s="164" t="s">
        <v>92</v>
      </c>
      <c r="C18" s="165">
        <v>0</v>
      </c>
    </row>
    <row r="19" spans="2:3" s="158" customFormat="1" ht="12" customHeight="1">
      <c r="B19" s="164" t="s">
        <v>93</v>
      </c>
      <c r="C19" s="165">
        <v>0</v>
      </c>
    </row>
    <row r="20" spans="2:3" s="158" customFormat="1" ht="12" customHeight="1">
      <c r="B20" s="164" t="s">
        <v>94</v>
      </c>
      <c r="C20" s="165">
        <v>0</v>
      </c>
    </row>
    <row r="21" spans="2:3" s="158" customFormat="1" ht="12" customHeight="1">
      <c r="B21" s="166" t="s">
        <v>95</v>
      </c>
      <c r="C21" s="168">
        <f>SUM(C7:C20)</f>
        <v>-21731665</v>
      </c>
    </row>
    <row r="22" spans="2:3" s="158" customFormat="1" ht="12" customHeight="1">
      <c r="B22" s="164" t="s">
        <v>96</v>
      </c>
      <c r="C22" s="165">
        <v>0</v>
      </c>
    </row>
    <row r="23" spans="2:3" s="158" customFormat="1" ht="12" customHeight="1">
      <c r="B23" s="164" t="s">
        <v>97</v>
      </c>
      <c r="C23" s="165">
        <v>0</v>
      </c>
    </row>
    <row r="24" spans="2:3" s="158" customFormat="1" ht="12" customHeight="1">
      <c r="B24" s="166" t="s">
        <v>98</v>
      </c>
      <c r="C24" s="168">
        <f>+C21</f>
        <v>-21731665</v>
      </c>
    </row>
    <row r="25" spans="2:3" s="158" customFormat="1" ht="12" customHeight="1">
      <c r="B25" s="166" t="s">
        <v>99</v>
      </c>
      <c r="C25" s="165"/>
    </row>
    <row r="26" spans="2:3" s="158" customFormat="1" ht="12" customHeight="1">
      <c r="B26" s="164" t="s">
        <v>100</v>
      </c>
      <c r="C26" s="165">
        <v>0</v>
      </c>
    </row>
    <row r="27" spans="2:3" s="158" customFormat="1" ht="12" customHeight="1">
      <c r="B27" s="164" t="s">
        <v>101</v>
      </c>
      <c r="C27" s="165">
        <v>0</v>
      </c>
    </row>
    <row r="28" spans="2:3" s="158" customFormat="1" ht="12" customHeight="1">
      <c r="B28" s="164" t="s">
        <v>102</v>
      </c>
      <c r="C28" s="165">
        <v>0</v>
      </c>
    </row>
    <row r="29" spans="2:3" s="158" customFormat="1" ht="12" customHeight="1">
      <c r="B29" s="164" t="s">
        <v>103</v>
      </c>
      <c r="C29" s="165">
        <v>-5448580.280000001</v>
      </c>
    </row>
    <row r="30" spans="2:3" s="158" customFormat="1" ht="12" customHeight="1">
      <c r="B30" s="164" t="s">
        <v>104</v>
      </c>
      <c r="C30" s="165">
        <v>-32562588</v>
      </c>
    </row>
    <row r="31" spans="2:3" s="158" customFormat="1" ht="12" customHeight="1">
      <c r="B31" s="164" t="s">
        <v>105</v>
      </c>
      <c r="C31" s="165">
        <v>-17722478.64</v>
      </c>
    </row>
    <row r="32" spans="2:3" s="158" customFormat="1" ht="12" customHeight="1">
      <c r="B32" s="164" t="s">
        <v>106</v>
      </c>
      <c r="C32" s="165">
        <v>0</v>
      </c>
    </row>
    <row r="33" spans="2:3" ht="12" customHeight="1">
      <c r="B33" s="164" t="s">
        <v>107</v>
      </c>
      <c r="C33" s="165">
        <v>0</v>
      </c>
    </row>
    <row r="34" spans="2:3" ht="12" customHeight="1">
      <c r="B34" s="164" t="s">
        <v>108</v>
      </c>
      <c r="C34" s="165">
        <v>0</v>
      </c>
    </row>
    <row r="35" spans="2:5" ht="12" customHeight="1">
      <c r="B35" s="164" t="s">
        <v>109</v>
      </c>
      <c r="C35" s="165">
        <f>+'ESF 2023'!E54-'ESF 2023'!G54</f>
        <v>-837000</v>
      </c>
      <c r="E35" s="157"/>
    </row>
    <row r="36" spans="2:3" ht="12" customHeight="1">
      <c r="B36" s="164" t="s">
        <v>110</v>
      </c>
      <c r="C36" s="165">
        <f>+'ESF 2023'!E17-'ESF 2023'!G17</f>
        <v>-47737000</v>
      </c>
    </row>
    <row r="37" spans="2:3" ht="12" customHeight="1">
      <c r="B37" s="164" t="s">
        <v>111</v>
      </c>
      <c r="C37" s="165">
        <v>0</v>
      </c>
    </row>
    <row r="38" spans="2:3" ht="12" customHeight="1">
      <c r="B38" s="164" t="s">
        <v>112</v>
      </c>
      <c r="C38" s="165">
        <v>0</v>
      </c>
    </row>
    <row r="39" spans="2:3" ht="12" customHeight="1">
      <c r="B39" s="164" t="s">
        <v>113</v>
      </c>
      <c r="C39" s="165">
        <v>0</v>
      </c>
    </row>
    <row r="40" spans="2:3" ht="12" customHeight="1">
      <c r="B40" s="164" t="s">
        <v>114</v>
      </c>
      <c r="C40" s="165">
        <v>0</v>
      </c>
    </row>
    <row r="41" spans="2:3" ht="12" customHeight="1">
      <c r="B41" s="164" t="s">
        <v>115</v>
      </c>
      <c r="C41" s="165">
        <v>0</v>
      </c>
    </row>
    <row r="42" spans="2:5" ht="12" customHeight="1">
      <c r="B42" s="164" t="s">
        <v>116</v>
      </c>
      <c r="C42" s="165">
        <v>0</v>
      </c>
      <c r="E42" s="157"/>
    </row>
    <row r="43" spans="2:3" ht="12" customHeight="1">
      <c r="B43" s="164" t="s">
        <v>117</v>
      </c>
      <c r="C43" s="165">
        <v>0</v>
      </c>
    </row>
    <row r="44" spans="2:3" ht="12" customHeight="1">
      <c r="B44" s="164" t="s">
        <v>118</v>
      </c>
      <c r="C44" s="165">
        <v>0</v>
      </c>
    </row>
    <row r="45" spans="2:3" ht="12" customHeight="1">
      <c r="B45" s="164" t="s">
        <v>119</v>
      </c>
      <c r="C45" s="165">
        <v>0</v>
      </c>
    </row>
    <row r="46" spans="2:3" ht="12" customHeight="1">
      <c r="B46" s="166" t="s">
        <v>120</v>
      </c>
      <c r="C46" s="168">
        <f>+C26+C29+C30+C31+C32+C33+C35-C36+C40-C45-C39-C41-C38</f>
        <v>-8833646.920000002</v>
      </c>
    </row>
    <row r="47" spans="2:3" ht="12" customHeight="1">
      <c r="B47" s="166" t="s">
        <v>121</v>
      </c>
      <c r="C47" s="165"/>
    </row>
    <row r="48" spans="2:3" ht="12" customHeight="1">
      <c r="B48" s="164" t="s">
        <v>122</v>
      </c>
      <c r="C48" s="165">
        <v>0</v>
      </c>
    </row>
    <row r="49" spans="2:3" s="158" customFormat="1" ht="12" customHeight="1">
      <c r="B49" s="164" t="s">
        <v>123</v>
      </c>
      <c r="C49" s="165">
        <v>0</v>
      </c>
    </row>
    <row r="50" spans="2:3" s="158" customFormat="1" ht="12" customHeight="1">
      <c r="B50" s="164" t="s">
        <v>124</v>
      </c>
      <c r="C50" s="165">
        <v>0</v>
      </c>
    </row>
    <row r="51" spans="2:3" s="158" customFormat="1" ht="12" customHeight="1">
      <c r="B51" s="164" t="s">
        <v>125</v>
      </c>
      <c r="C51" s="165">
        <v>0</v>
      </c>
    </row>
    <row r="52" spans="2:3" s="158" customFormat="1" ht="12" customHeight="1">
      <c r="B52" s="164" t="s">
        <v>126</v>
      </c>
      <c r="C52" s="165">
        <v>0</v>
      </c>
    </row>
    <row r="53" spans="2:3" s="158" customFormat="1" ht="12" customHeight="1">
      <c r="B53" s="164" t="s">
        <v>127</v>
      </c>
      <c r="C53" s="165">
        <v>0</v>
      </c>
    </row>
    <row r="54" spans="2:3" s="158" customFormat="1" ht="12" customHeight="1">
      <c r="B54" s="164" t="s">
        <v>128</v>
      </c>
      <c r="C54" s="165">
        <v>0</v>
      </c>
    </row>
    <row r="55" spans="2:3" s="158" customFormat="1" ht="12" customHeight="1">
      <c r="B55" s="164" t="s">
        <v>129</v>
      </c>
      <c r="C55" s="165">
        <v>0</v>
      </c>
    </row>
    <row r="56" spans="2:3" s="158" customFormat="1" ht="12" customHeight="1">
      <c r="B56" s="164" t="s">
        <v>130</v>
      </c>
      <c r="C56" s="165">
        <v>0</v>
      </c>
    </row>
    <row r="57" spans="2:3" s="158" customFormat="1" ht="12" customHeight="1">
      <c r="B57" s="164" t="s">
        <v>131</v>
      </c>
      <c r="C57" s="165">
        <v>0</v>
      </c>
    </row>
    <row r="58" spans="2:3" s="158" customFormat="1" ht="12" customHeight="1">
      <c r="B58" s="166" t="s">
        <v>132</v>
      </c>
      <c r="C58" s="168">
        <f>-C50-C52+C55+C57</f>
        <v>0</v>
      </c>
    </row>
    <row r="59" spans="2:3" s="158" customFormat="1" ht="12" customHeight="1">
      <c r="B59" s="166" t="s">
        <v>133</v>
      </c>
      <c r="C59" s="165"/>
    </row>
    <row r="60" spans="2:3" s="158" customFormat="1" ht="12" customHeight="1">
      <c r="B60" s="164" t="s">
        <v>134</v>
      </c>
      <c r="C60" s="169">
        <v>0</v>
      </c>
    </row>
    <row r="61" spans="2:3" s="158" customFormat="1" ht="12" customHeight="1">
      <c r="B61" s="164" t="s">
        <v>135</v>
      </c>
      <c r="C61" s="165">
        <v>0</v>
      </c>
    </row>
    <row r="62" spans="2:3" s="158" customFormat="1" ht="12" customHeight="1">
      <c r="B62" s="164" t="s">
        <v>136</v>
      </c>
      <c r="C62" s="165">
        <v>0</v>
      </c>
    </row>
    <row r="63" spans="2:3" s="158" customFormat="1" ht="12" customHeight="1">
      <c r="B63" s="164" t="s">
        <v>137</v>
      </c>
      <c r="C63" s="165">
        <v>0</v>
      </c>
    </row>
    <row r="64" spans="2:3" s="158" customFormat="1" ht="12" customHeight="1">
      <c r="B64" s="164" t="s">
        <v>138</v>
      </c>
      <c r="C64" s="169">
        <v>-14679020</v>
      </c>
    </row>
    <row r="65" spans="2:3" ht="12" customHeight="1">
      <c r="B65" s="164" t="s">
        <v>139</v>
      </c>
      <c r="C65" s="165">
        <v>0</v>
      </c>
    </row>
    <row r="66" spans="2:3" ht="12" customHeight="1">
      <c r="B66" s="164" t="s">
        <v>140</v>
      </c>
      <c r="C66" s="165">
        <v>0</v>
      </c>
    </row>
    <row r="67" spans="2:3" ht="12" customHeight="1">
      <c r="B67" s="164" t="s">
        <v>141</v>
      </c>
      <c r="C67" s="165">
        <v>0</v>
      </c>
    </row>
    <row r="68" spans="2:3" ht="12" customHeight="1">
      <c r="B68" s="164" t="s">
        <v>142</v>
      </c>
      <c r="C68" s="165">
        <v>0</v>
      </c>
    </row>
    <row r="69" spans="2:3" ht="12" customHeight="1">
      <c r="B69" s="164" t="s">
        <v>143</v>
      </c>
      <c r="C69" s="165">
        <v>0</v>
      </c>
    </row>
    <row r="70" spans="2:3" ht="12" customHeight="1">
      <c r="B70" s="166" t="s">
        <v>144</v>
      </c>
      <c r="C70" s="168">
        <f>SUM(C60:C69)</f>
        <v>-14679020</v>
      </c>
    </row>
    <row r="71" spans="2:5" ht="12" customHeight="1">
      <c r="B71" s="166" t="s">
        <v>145</v>
      </c>
      <c r="C71" s="168">
        <f>+C24+C46+C58+C70</f>
        <v>-45244331.92</v>
      </c>
      <c r="E71" s="157"/>
    </row>
    <row r="72" spans="2:3" ht="12" customHeight="1">
      <c r="B72" s="166" t="s">
        <v>146</v>
      </c>
      <c r="C72" s="165">
        <f>+'ESF 2023'!G12</f>
        <v>19189000</v>
      </c>
    </row>
    <row r="73" spans="2:3" ht="12" customHeight="1" thickBot="1">
      <c r="B73" s="170" t="s">
        <v>147</v>
      </c>
      <c r="C73" s="171">
        <f>+C71+C72</f>
        <v>-26055331.92</v>
      </c>
    </row>
    <row r="74" spans="2:3" ht="9.75" customHeight="1">
      <c r="B74" s="172"/>
      <c r="C74" s="173"/>
    </row>
    <row r="75" spans="2:3" ht="9.75" customHeight="1">
      <c r="B75" s="172"/>
      <c r="C75" s="173"/>
    </row>
    <row r="76" spans="2:3" ht="9.75" customHeight="1">
      <c r="B76" s="172"/>
      <c r="C76" s="173"/>
    </row>
    <row r="77" spans="2:3" ht="9.75" customHeight="1">
      <c r="B77" s="172"/>
      <c r="C77" s="173"/>
    </row>
    <row r="78" spans="2:3" ht="12.75">
      <c r="B78" s="174"/>
      <c r="C78" s="175"/>
    </row>
    <row r="79" spans="2:3" ht="12.75">
      <c r="B79" s="174"/>
      <c r="C79" s="175"/>
    </row>
    <row r="80" spans="1:3" ht="12.75">
      <c r="A80" s="122"/>
      <c r="B80" s="176" t="str">
        <f>+'[1]BALANCE GENERAL'!B74</f>
        <v>JOEL SUAREZ OSPINA</v>
      </c>
      <c r="C80" s="177" t="str">
        <f>+'[1]BALANCE GENERAL'!G74</f>
        <v>ORLANDO DE JESUS JIMENES</v>
      </c>
    </row>
    <row r="81" spans="1:3" s="158" customFormat="1" ht="12.75">
      <c r="A81" s="68"/>
      <c r="B81" s="178" t="str">
        <f>+'[1]BALANCE GENERAL'!B75</f>
        <v>Director Ejecutivo </v>
      </c>
      <c r="C81" s="179" t="s">
        <v>77</v>
      </c>
    </row>
    <row r="82" spans="2:3" s="158" customFormat="1" ht="9.75">
      <c r="B82" s="174"/>
      <c r="C82" s="175"/>
    </row>
    <row r="83" spans="2:3" s="158" customFormat="1" ht="9.75">
      <c r="B83" s="174"/>
      <c r="C83" s="175"/>
    </row>
    <row r="84" spans="2:3" s="158" customFormat="1" ht="12">
      <c r="B84" s="405" t="str">
        <f>+'[1]BALANCE GENERAL'!D74</f>
        <v>LUIS FERNANDO GUARIN OSPINA</v>
      </c>
      <c r="C84" s="406"/>
    </row>
    <row r="85" spans="2:3" s="158" customFormat="1" ht="12" thickBot="1">
      <c r="B85" s="407" t="s">
        <v>148</v>
      </c>
      <c r="C85" s="408"/>
    </row>
  </sheetData>
  <sheetProtection/>
  <mergeCells count="5">
    <mergeCell ref="B1:C1"/>
    <mergeCell ref="B2:C2"/>
    <mergeCell ref="B3:C3"/>
    <mergeCell ref="B84:C84"/>
    <mergeCell ref="B85:C85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Joel Suarez Ospina</cp:lastModifiedBy>
  <cp:lastPrinted>2021-03-31T15:53:05Z</cp:lastPrinted>
  <dcterms:created xsi:type="dcterms:W3CDTF">1998-07-19T01:59:08Z</dcterms:created>
  <dcterms:modified xsi:type="dcterms:W3CDTF">2024-03-12T03:34:46Z</dcterms:modified>
  <cp:category/>
  <cp:version/>
  <cp:contentType/>
  <cp:contentStatus/>
</cp:coreProperties>
</file>